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\\STW-Files01\Benutzerdaten\Hofmann\Desktop\"/>
    </mc:Choice>
  </mc:AlternateContent>
  <workbookProtection workbookPassword="B39A" lockStructure="1"/>
  <bookViews>
    <workbookView xWindow="-120" yWindow="-120" windowWidth="29040" windowHeight="15840"/>
  </bookViews>
  <sheets>
    <sheet name="Gebührenrechner" sheetId="1" r:id="rId1"/>
    <sheet name="Abw" sheetId="2" state="hidden" r:id="rId2"/>
    <sheet name="Was" sheetId="4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2" l="1"/>
  <c r="H13" i="4" l="1"/>
  <c r="H12" i="4"/>
  <c r="H11" i="4"/>
  <c r="H10" i="4"/>
  <c r="H9" i="4"/>
  <c r="H8" i="4"/>
  <c r="H7" i="4"/>
  <c r="H6" i="4"/>
  <c r="H5" i="4"/>
  <c r="E24" i="4"/>
  <c r="I7" i="4"/>
  <c r="N10" i="4" s="1"/>
  <c r="G7" i="4"/>
  <c r="N9" i="4" s="1"/>
  <c r="O5" i="4"/>
  <c r="N5" i="4"/>
  <c r="N6" i="4"/>
  <c r="N7" i="4" s="1"/>
  <c r="J6" i="4"/>
  <c r="J7" i="4"/>
  <c r="N37" i="1"/>
  <c r="N30" i="1"/>
  <c r="N11" i="4" l="1"/>
  <c r="J8" i="4"/>
  <c r="O6" i="4"/>
  <c r="O7" i="4" s="1"/>
  <c r="R29" i="4"/>
  <c r="O29" i="4"/>
  <c r="E29" i="4"/>
  <c r="M29" i="2"/>
  <c r="D29" i="2"/>
  <c r="R15" i="1"/>
  <c r="R14" i="1"/>
  <c r="R13" i="1"/>
  <c r="R12" i="1"/>
  <c r="R11" i="1"/>
  <c r="R10" i="1"/>
  <c r="R9" i="1"/>
  <c r="Q9" i="1"/>
  <c r="Q10" i="1" s="1"/>
  <c r="Q11" i="1" s="1"/>
  <c r="Q12" i="1" s="1"/>
  <c r="Q13" i="1" s="1"/>
  <c r="Q14" i="1" s="1"/>
  <c r="K9" i="1"/>
  <c r="K10" i="1" s="1"/>
  <c r="K11" i="1" s="1"/>
  <c r="K12" i="1" s="1"/>
  <c r="K13" i="1" s="1"/>
  <c r="K14" i="1" s="1"/>
  <c r="L9" i="1"/>
  <c r="L10" i="1"/>
  <c r="L11" i="1"/>
  <c r="L12" i="1"/>
  <c r="L13" i="1"/>
  <c r="L14" i="1"/>
  <c r="L15" i="1"/>
  <c r="O16" i="1"/>
  <c r="O15" i="1"/>
  <c r="O14" i="1"/>
  <c r="O13" i="1"/>
  <c r="O12" i="1"/>
  <c r="O11" i="1"/>
  <c r="O10" i="1"/>
  <c r="O9" i="1"/>
  <c r="C15" i="2" l="1"/>
  <c r="C28" i="2" l="1"/>
  <c r="D29" i="4"/>
  <c r="C29" i="2"/>
  <c r="D28" i="4"/>
  <c r="R28" i="4"/>
  <c r="R27" i="4"/>
  <c r="R26" i="4"/>
  <c r="R25" i="4"/>
  <c r="R24" i="4"/>
  <c r="R23" i="4"/>
  <c r="R22" i="4"/>
  <c r="R21" i="4"/>
  <c r="M28" i="2"/>
  <c r="M27" i="2"/>
  <c r="M25" i="2"/>
  <c r="M24" i="2"/>
  <c r="M23" i="2"/>
  <c r="M22" i="2"/>
  <c r="M21" i="2"/>
  <c r="N19" i="4"/>
  <c r="E21" i="4"/>
  <c r="D21" i="2"/>
  <c r="D16" i="4"/>
  <c r="E28" i="4"/>
  <c r="C12" i="4"/>
  <c r="E27" i="4"/>
  <c r="C11" i="4"/>
  <c r="E26" i="4"/>
  <c r="C10" i="4"/>
  <c r="E25" i="4"/>
  <c r="C9" i="4"/>
  <c r="C8" i="4"/>
  <c r="E23" i="4"/>
  <c r="C7" i="4"/>
  <c r="E22" i="4"/>
  <c r="C6" i="4"/>
  <c r="B6" i="4"/>
  <c r="B7" i="4" s="1"/>
  <c r="B8" i="4" s="1"/>
  <c r="B9" i="4" s="1"/>
  <c r="B10" i="4" s="1"/>
  <c r="B11" i="4" s="1"/>
  <c r="F29" i="4" l="1"/>
  <c r="G29" i="4" s="1"/>
  <c r="Q29" i="4"/>
  <c r="I29" i="4"/>
  <c r="J29" i="4" s="1"/>
  <c r="S29" i="4"/>
  <c r="T29" i="4" s="1"/>
  <c r="H29" i="4"/>
  <c r="H29" i="2"/>
  <c r="I29" i="2" s="1"/>
  <c r="L29" i="2"/>
  <c r="N29" i="2" s="1"/>
  <c r="O29" i="2" s="1"/>
  <c r="E29" i="2"/>
  <c r="F29" i="2" s="1"/>
  <c r="C2" i="1"/>
  <c r="M29" i="4" l="1"/>
  <c r="G29" i="2"/>
  <c r="J29" i="2" s="1"/>
  <c r="D21" i="4"/>
  <c r="F21" i="4" s="1"/>
  <c r="G11" i="2"/>
  <c r="G10" i="2"/>
  <c r="D28" i="2" s="1"/>
  <c r="B10" i="2"/>
  <c r="G9" i="2"/>
  <c r="D27" i="2" s="1"/>
  <c r="B9" i="2"/>
  <c r="G8" i="2"/>
  <c r="D26" i="2" s="1"/>
  <c r="B8" i="2"/>
  <c r="G7" i="2"/>
  <c r="D25" i="2" s="1"/>
  <c r="B7" i="2"/>
  <c r="G6" i="2"/>
  <c r="D24" i="2" s="1"/>
  <c r="B6" i="2"/>
  <c r="G5" i="2"/>
  <c r="D23" i="2" s="1"/>
  <c r="B5" i="2"/>
  <c r="G4" i="2"/>
  <c r="D22" i="2" s="1"/>
  <c r="B4" i="2"/>
  <c r="A4" i="2"/>
  <c r="A5" i="2" s="1"/>
  <c r="A6" i="2" s="1"/>
  <c r="A7" i="2" s="1"/>
  <c r="A8" i="2" s="1"/>
  <c r="A9" i="2" s="1"/>
  <c r="I21" i="4" l="1"/>
  <c r="S21" i="4"/>
  <c r="D22" i="4"/>
  <c r="S22" i="4" s="1"/>
  <c r="T22" i="4" s="1"/>
  <c r="D25" i="4"/>
  <c r="S25" i="4" s="1"/>
  <c r="T25" i="4" s="1"/>
  <c r="D26" i="4"/>
  <c r="S26" i="4" s="1"/>
  <c r="T26" i="4" s="1"/>
  <c r="D27" i="4"/>
  <c r="S27" i="4" s="1"/>
  <c r="T27" i="4" s="1"/>
  <c r="D23" i="4"/>
  <c r="S23" i="4" s="1"/>
  <c r="T23" i="4" s="1"/>
  <c r="D24" i="4"/>
  <c r="S24" i="4" s="1"/>
  <c r="T24" i="4" s="1"/>
  <c r="S28" i="4"/>
  <c r="T28" i="4" s="1"/>
  <c r="L28" i="2"/>
  <c r="N28" i="2" s="1"/>
  <c r="O28" i="2" s="1"/>
  <c r="C26" i="2"/>
  <c r="L26" i="2" s="1"/>
  <c r="N26" i="2" s="1"/>
  <c r="O26" i="2" s="1"/>
  <c r="C25" i="2"/>
  <c r="L25" i="2" s="1"/>
  <c r="N25" i="2" s="1"/>
  <c r="O25" i="2" s="1"/>
  <c r="C24" i="2"/>
  <c r="L24" i="2" s="1"/>
  <c r="N24" i="2" s="1"/>
  <c r="O24" i="2" s="1"/>
  <c r="C23" i="2"/>
  <c r="L23" i="2" s="1"/>
  <c r="N23" i="2" s="1"/>
  <c r="O23" i="2" s="1"/>
  <c r="C22" i="2"/>
  <c r="C21" i="2"/>
  <c r="C27" i="2"/>
  <c r="L27" i="2" s="1"/>
  <c r="N27" i="2" s="1"/>
  <c r="O27" i="2" s="1"/>
  <c r="S30" i="4" l="1"/>
  <c r="J21" i="4"/>
  <c r="T21" i="4"/>
  <c r="L21" i="2"/>
  <c r="N21" i="2" s="1"/>
  <c r="H21" i="2"/>
  <c r="D30" i="4"/>
  <c r="Q21" i="4"/>
  <c r="Q28" i="4"/>
  <c r="Q23" i="4"/>
  <c r="Q26" i="4"/>
  <c r="Q25" i="4"/>
  <c r="Q24" i="4"/>
  <c r="Q27" i="4"/>
  <c r="Q22" i="4"/>
  <c r="E22" i="2"/>
  <c r="F22" i="2" s="1"/>
  <c r="L22" i="2"/>
  <c r="N22" i="2" s="1"/>
  <c r="O22" i="2" s="1"/>
  <c r="I23" i="4"/>
  <c r="H27" i="4"/>
  <c r="I27" i="4"/>
  <c r="E21" i="2"/>
  <c r="F21" i="2" s="1"/>
  <c r="I24" i="4"/>
  <c r="I25" i="4"/>
  <c r="I28" i="4"/>
  <c r="H26" i="4"/>
  <c r="I26" i="4"/>
  <c r="I22" i="4"/>
  <c r="G21" i="4"/>
  <c r="F25" i="4"/>
  <c r="G25" i="4" s="1"/>
  <c r="F22" i="4"/>
  <c r="G22" i="4" s="1"/>
  <c r="F24" i="4"/>
  <c r="G24" i="4" s="1"/>
  <c r="F28" i="4"/>
  <c r="G28" i="4" s="1"/>
  <c r="F23" i="4"/>
  <c r="G23" i="4" s="1"/>
  <c r="F26" i="4"/>
  <c r="G26" i="4" s="1"/>
  <c r="F27" i="4"/>
  <c r="G27" i="4" s="1"/>
  <c r="H23" i="2"/>
  <c r="I23" i="2" s="1"/>
  <c r="H26" i="2"/>
  <c r="I26" i="2" s="1"/>
  <c r="H27" i="2"/>
  <c r="I27" i="2" s="1"/>
  <c r="G27" i="2"/>
  <c r="H22" i="2"/>
  <c r="I22" i="2" s="1"/>
  <c r="H24" i="2"/>
  <c r="I24" i="2" s="1"/>
  <c r="H25" i="2"/>
  <c r="I25" i="2" s="1"/>
  <c r="E28" i="2"/>
  <c r="F28" i="2" s="1"/>
  <c r="H28" i="2"/>
  <c r="I28" i="2" s="1"/>
  <c r="E25" i="2"/>
  <c r="F25" i="2" s="1"/>
  <c r="E26" i="2"/>
  <c r="F26" i="2" s="1"/>
  <c r="E27" i="2"/>
  <c r="F27" i="2" s="1"/>
  <c r="E23" i="2"/>
  <c r="F23" i="2" s="1"/>
  <c r="E24" i="2"/>
  <c r="F24" i="2" s="1"/>
  <c r="G26" i="2" l="1"/>
  <c r="I30" i="4"/>
  <c r="I32" i="4" s="1"/>
  <c r="I21" i="2"/>
  <c r="I30" i="2" s="1"/>
  <c r="I32" i="2" s="1"/>
  <c r="K30" i="2" s="1"/>
  <c r="H30" i="2"/>
  <c r="T30" i="4"/>
  <c r="T32" i="4" s="1"/>
  <c r="K21" i="4"/>
  <c r="L21" i="4" s="1"/>
  <c r="O21" i="2"/>
  <c r="O30" i="2" s="1"/>
  <c r="O32" i="2" s="1"/>
  <c r="N30" i="2"/>
  <c r="H28" i="4"/>
  <c r="M28" i="4" s="1"/>
  <c r="H25" i="4"/>
  <c r="M25" i="4" s="1"/>
  <c r="G25" i="2"/>
  <c r="J25" i="2" s="1"/>
  <c r="J22" i="4"/>
  <c r="J27" i="4"/>
  <c r="J28" i="4"/>
  <c r="J25" i="4"/>
  <c r="J26" i="4"/>
  <c r="J23" i="4"/>
  <c r="J24" i="4"/>
  <c r="H23" i="4"/>
  <c r="M23" i="4" s="1"/>
  <c r="G21" i="2"/>
  <c r="H22" i="4"/>
  <c r="Q30" i="4"/>
  <c r="H14" i="1" s="1"/>
  <c r="L30" i="2"/>
  <c r="H30" i="1" s="1"/>
  <c r="H24" i="4"/>
  <c r="J26" i="2"/>
  <c r="H21" i="4"/>
  <c r="M26" i="4"/>
  <c r="M27" i="4"/>
  <c r="G28" i="2"/>
  <c r="J28" i="2" s="1"/>
  <c r="G22" i="2"/>
  <c r="J22" i="2" s="1"/>
  <c r="G24" i="2"/>
  <c r="J24" i="2" s="1"/>
  <c r="J27" i="2"/>
  <c r="G23" i="2"/>
  <c r="J30" i="4" l="1"/>
  <c r="J32" i="4" s="1"/>
  <c r="H30" i="4"/>
  <c r="U30" i="4"/>
  <c r="H18" i="1" s="1"/>
  <c r="H16" i="1"/>
  <c r="V30" i="4"/>
  <c r="H20" i="1" s="1"/>
  <c r="J21" i="2"/>
  <c r="G30" i="2"/>
  <c r="E30" i="1" s="1"/>
  <c r="H32" i="1"/>
  <c r="P30" i="2"/>
  <c r="H34" i="1" s="1"/>
  <c r="K26" i="4"/>
  <c r="L26" i="4" s="1"/>
  <c r="K23" i="4"/>
  <c r="L23" i="4" s="1"/>
  <c r="K25" i="4"/>
  <c r="L25" i="4" s="1"/>
  <c r="K24" i="4"/>
  <c r="L24" i="4" s="1"/>
  <c r="K28" i="4"/>
  <c r="L28" i="4" s="1"/>
  <c r="K27" i="4"/>
  <c r="L27" i="4" s="1"/>
  <c r="K22" i="4"/>
  <c r="L22" i="4" s="1"/>
  <c r="M22" i="4"/>
  <c r="M24" i="4"/>
  <c r="M21" i="4"/>
  <c r="J23" i="2"/>
  <c r="M30" i="4" l="1"/>
  <c r="M32" i="4" s="1"/>
  <c r="E14" i="1"/>
  <c r="H23" i="1"/>
  <c r="J30" i="2"/>
  <c r="H37" i="1"/>
  <c r="H40" i="1" s="1"/>
  <c r="P30" i="4"/>
  <c r="E20" i="1" s="1"/>
  <c r="N30" i="4"/>
  <c r="E18" i="1" s="1"/>
  <c r="E34" i="1"/>
  <c r="E32" i="1"/>
  <c r="K30" i="4"/>
  <c r="O22" i="4"/>
  <c r="O26" i="4"/>
  <c r="O28" i="4"/>
  <c r="O23" i="4"/>
  <c r="O24" i="4"/>
  <c r="O25" i="4"/>
  <c r="O27" i="4"/>
  <c r="E16" i="1"/>
  <c r="L30" i="4"/>
  <c r="E37" i="1" l="1"/>
  <c r="O21" i="4"/>
  <c r="O30" i="4" s="1"/>
  <c r="E23" i="1" l="1"/>
  <c r="E40" i="1" s="1"/>
</calcChain>
</file>

<file path=xl/sharedStrings.xml><?xml version="1.0" encoding="utf-8"?>
<sst xmlns="http://schemas.openxmlformats.org/spreadsheetml/2006/main" count="158" uniqueCount="92">
  <si>
    <t>Wasser</t>
  </si>
  <si>
    <t>Wassergebühr</t>
  </si>
  <si>
    <t>Grundgebühr</t>
  </si>
  <si>
    <t>Zählermiete</t>
  </si>
  <si>
    <t>Verbrauch</t>
  </si>
  <si>
    <t>Zone</t>
  </si>
  <si>
    <t>Untergrenze [m³]</t>
  </si>
  <si>
    <t>Obergrenze [m³]</t>
  </si>
  <si>
    <t>Arbeitspreis [€/m³]</t>
  </si>
  <si>
    <t>Grundpreis [€/a]</t>
  </si>
  <si>
    <t>Berechnungsbeispiele:</t>
  </si>
  <si>
    <t>cbm</t>
  </si>
  <si>
    <t>0-30</t>
  </si>
  <si>
    <t>31-150</t>
  </si>
  <si>
    <t>151-250</t>
  </si>
  <si>
    <t>251-500</t>
  </si>
  <si>
    <t>501-1000</t>
  </si>
  <si>
    <t>1001-5000</t>
  </si>
  <si>
    <t>5001-7500</t>
  </si>
  <si>
    <t>7500-20000</t>
  </si>
  <si>
    <t>Abwasser</t>
  </si>
  <si>
    <t>Abwassergebühr</t>
  </si>
  <si>
    <t>Verwaltungsgebühren</t>
  </si>
  <si>
    <t>m³</t>
  </si>
  <si>
    <t>Grundpreis</t>
  </si>
  <si>
    <t>Arbeitspreis</t>
  </si>
  <si>
    <t>Gesamtpreis</t>
  </si>
  <si>
    <t>Gesamt</t>
  </si>
  <si>
    <t xml:space="preserve">* Angabe für einen normalen Haushaltszähler QN 2,5 </t>
  </si>
  <si>
    <t>Witzenhausen,</t>
  </si>
  <si>
    <t>Die Zählermieten für größere Zählertypen belaufen sich auf:</t>
  </si>
  <si>
    <t>QN 150   =  258,12 € p. a.</t>
  </si>
  <si>
    <t>QN 6        =    89,16 € p. a.</t>
  </si>
  <si>
    <t>Beim Verlassen der Tabelle "nicht speichern" anklicken. Vielen Dank!</t>
  </si>
  <si>
    <t xml:space="preserve">Gebührenrechner 2021 </t>
  </si>
  <si>
    <t>Theune</t>
  </si>
  <si>
    <t>Duclos</t>
  </si>
  <si>
    <t>DS Smith</t>
  </si>
  <si>
    <t>Uni</t>
  </si>
  <si>
    <t>Krankenhaus</t>
  </si>
  <si>
    <t>Awo</t>
  </si>
  <si>
    <t>Essity</t>
  </si>
  <si>
    <t>Ludwigstein</t>
  </si>
  <si>
    <t>Portfolio</t>
  </si>
  <si>
    <t>Heppe</t>
  </si>
  <si>
    <t>Studentenwerk</t>
  </si>
  <si>
    <t>Verbrauch:</t>
  </si>
  <si>
    <t>Feld Ihren Jahresverbrauch an. Die angezeigte Gebühr bezieht sich auf das volle Jahr!</t>
  </si>
  <si>
    <t>Verrechnungsgebühr</t>
  </si>
  <si>
    <t>GP altes Modell</t>
  </si>
  <si>
    <t>AP altes Modell</t>
  </si>
  <si>
    <t>GP für Rechner</t>
  </si>
  <si>
    <t>Verrechnungsg.</t>
  </si>
  <si>
    <t>Verwaltungsgeb.</t>
  </si>
  <si>
    <t>GP 1</t>
  </si>
  <si>
    <t>GP 2</t>
  </si>
  <si>
    <t>Zählermiete 1</t>
  </si>
  <si>
    <t>Verrechnung</t>
  </si>
  <si>
    <t>Grundpreis altes Modell</t>
  </si>
  <si>
    <r>
      <t>Zählermiete</t>
    </r>
    <r>
      <rPr>
        <b/>
        <sz val="11"/>
        <color theme="1"/>
        <rFont val="Calibri"/>
        <family val="2"/>
        <scheme val="minor"/>
      </rPr>
      <t>*</t>
    </r>
  </si>
  <si>
    <t>**</t>
  </si>
  <si>
    <t>** Enthält die gesetzliche Umsatzsteuer im Höhe von 7 %</t>
  </si>
  <si>
    <r>
      <t xml:space="preserve">Zur Ermittlung Ihrer Wasser- bzw. Abwassergebühren geben Sie bitte einfach in das </t>
    </r>
    <r>
      <rPr>
        <b/>
        <u/>
        <sz val="12"/>
        <color theme="1"/>
        <rFont val="Calibri"/>
        <family val="2"/>
        <scheme val="minor"/>
      </rPr>
      <t>blau markierte</t>
    </r>
  </si>
  <si>
    <t>Jahresverbrauch</t>
  </si>
  <si>
    <t>Gesamtgebühr Wasser/Abwasser</t>
  </si>
  <si>
    <t>Zwischensumme Abwasser</t>
  </si>
  <si>
    <t>Zwischensumme Wasser</t>
  </si>
  <si>
    <t>Wassergebühr [€/m³]</t>
  </si>
  <si>
    <t>Grundgebühr [€/a]</t>
  </si>
  <si>
    <t>Abwassergebühr [€/m³]</t>
  </si>
  <si>
    <t>&gt;20000</t>
  </si>
  <si>
    <t>Jahresverbrauch:</t>
  </si>
  <si>
    <t>Abwassergebühr ohne Verwaltungsgebühr:</t>
  </si>
  <si>
    <t>Abwassergebühr:</t>
  </si>
  <si>
    <t xml:space="preserve">Grundgebühr: </t>
  </si>
  <si>
    <t>Erläuterung zur Berechnung des neuen Gebührenmodell ab dem Jahr 2021</t>
  </si>
  <si>
    <t>Gebührensprünge an den Zonengrenzen. Die Berechnung des Modells weicht im Vergleich zum alten Modell deutlich ab und soll im Folgenden  anschaulich erklärt werden.</t>
  </si>
  <si>
    <t xml:space="preserve">Die Grundgebühr einer Gruppe spiegelt dabei immer die Gesamtgebühren aller Vorgruppen (ggf. unter Berücksichtigung einer Rundungsdifferenz) ab. </t>
  </si>
  <si>
    <t>Dazu folgendes Beispiel für den Bereich Abwasser (Wasser unterliegt der gleichen Berechnungslogik):</t>
  </si>
  <si>
    <t xml:space="preserve">Erläuterung mengenabhängige Verbrauchsgebühr: </t>
  </si>
  <si>
    <t xml:space="preserve">Die mengenabhängige Verbrauchsgebühr (hier im Beispiel "Abwassergebühr") </t>
  </si>
  <si>
    <t xml:space="preserve">Bezogen auf das links stehende Beispiel beinhaltet die Abwassergebühr bei einem </t>
  </si>
  <si>
    <t xml:space="preserve">Berechnung: Verbrauch abzüglich untere Gruppengrenze  </t>
  </si>
  <si>
    <r>
      <t xml:space="preserve">= 120 m³ * 4,05 € = </t>
    </r>
    <r>
      <rPr>
        <u/>
        <sz val="11"/>
        <color rgb="FF000000"/>
        <rFont val="Calibri"/>
        <family val="2"/>
        <scheme val="minor"/>
      </rPr>
      <t>486,00 €</t>
    </r>
  </si>
  <si>
    <t>= 150 m³ - 30 m³ = 120 m³</t>
  </si>
  <si>
    <t>= 155 m³ - 150 m³ = 5 m³</t>
  </si>
  <si>
    <r>
      <t xml:space="preserve">= 5 m³ * 4,90 € = </t>
    </r>
    <r>
      <rPr>
        <u/>
        <sz val="11"/>
        <color rgb="FF000000"/>
        <rFont val="Calibri"/>
        <family val="2"/>
        <scheme val="minor"/>
      </rPr>
      <t>24,50 €</t>
    </r>
  </si>
  <si>
    <r>
      <t>Berechnung</t>
    </r>
    <r>
      <rPr>
        <b/>
        <sz val="11"/>
        <color rgb="FF000000"/>
        <rFont val="Calibri"/>
        <family val="2"/>
        <scheme val="minor"/>
      </rPr>
      <t xml:space="preserve"> 155 m³</t>
    </r>
    <r>
      <rPr>
        <sz val="11"/>
        <color rgb="FF000000"/>
        <rFont val="Calibri"/>
        <family val="2"/>
        <scheme val="minor"/>
      </rPr>
      <t xml:space="preserve">: </t>
    </r>
  </si>
  <si>
    <r>
      <t xml:space="preserve">Verbrauch von </t>
    </r>
    <r>
      <rPr>
        <b/>
        <sz val="11"/>
        <color rgb="FF000000"/>
        <rFont val="Calibri"/>
        <family val="2"/>
        <scheme val="minor"/>
      </rPr>
      <t>150 m³</t>
    </r>
    <r>
      <rPr>
        <sz val="11"/>
        <color rgb="FF000000"/>
        <rFont val="Calibri"/>
        <family val="2"/>
        <scheme val="minor"/>
      </rPr>
      <t xml:space="preserve"> eine Menge von 120 m³:</t>
    </r>
  </si>
  <si>
    <t xml:space="preserve">Das zum 01.01.2021 neu eingeführte Gebührenmodell beseitigt im Vergleich des bis zum 31.12.2020 angewendeten Modell die entstandenen </t>
  </si>
  <si>
    <t xml:space="preserve">berücksichtigt dabei nur den Verbrauch, der oberhalb einer oberen Gruppengrenze </t>
  </si>
  <si>
    <t>der Vorgruppe anfällt.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</si>
</sst>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\ _€_-;\-* #,##0\ _€_-;_-* &quot;-&quot;\ _€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</font>
    <font>
      <b/>
      <i/>
      <sz val="10"/>
      <name val="Arial"/>
      <family val="2"/>
    </font>
    <font>
      <b/>
      <sz val="14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103">
    <xf numFmtId="0" fontId="0" fillId="0" borderId="0" xfId="0"/>
    <xf numFmtId="0" fontId="3" fillId="0" borderId="0" xfId="0" applyNumberFormat="1" applyFont="1" applyFill="1" applyBorder="1" applyAlignment="1" applyProtection="1"/>
    <xf numFmtId="0" fontId="0" fillId="0" borderId="0" xfId="0" applyBorder="1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" xfId="0" applyBorder="1"/>
    <xf numFmtId="164" fontId="0" fillId="0" borderId="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4" fontId="2" fillId="0" borderId="0" xfId="0" applyNumberFormat="1" applyFont="1"/>
    <xf numFmtId="164" fontId="2" fillId="4" borderId="1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164" fontId="2" fillId="0" borderId="2" xfId="0" applyNumberFormat="1" applyFont="1" applyFill="1" applyBorder="1" applyAlignment="1">
      <alignment horizontal="center"/>
    </xf>
    <xf numFmtId="0" fontId="6" fillId="0" borderId="3" xfId="0" applyFont="1" applyFill="1" applyBorder="1"/>
    <xf numFmtId="0" fontId="0" fillId="0" borderId="3" xfId="0" applyFill="1" applyBorder="1"/>
    <xf numFmtId="164" fontId="6" fillId="0" borderId="3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/>
    <xf numFmtId="0" fontId="0" fillId="0" borderId="5" xfId="0" applyBorder="1"/>
    <xf numFmtId="0" fontId="0" fillId="0" borderId="5" xfId="0" applyFill="1" applyBorder="1"/>
    <xf numFmtId="164" fontId="2" fillId="0" borderId="5" xfId="0" applyNumberFormat="1" applyFont="1" applyFill="1" applyBorder="1" applyAlignment="1">
      <alignment horizontal="center"/>
    </xf>
    <xf numFmtId="0" fontId="10" fillId="0" borderId="0" xfId="0" applyFont="1" applyBorder="1"/>
    <xf numFmtId="0" fontId="11" fillId="0" borderId="0" xfId="0" applyFont="1"/>
    <xf numFmtId="164" fontId="10" fillId="3" borderId="1" xfId="0" applyNumberFormat="1" applyFont="1" applyFill="1" applyBorder="1" applyAlignment="1">
      <alignment horizontal="center"/>
    </xf>
    <xf numFmtId="0" fontId="11" fillId="0" borderId="0" xfId="0" applyFont="1" applyFill="1"/>
    <xf numFmtId="0" fontId="12" fillId="0" borderId="0" xfId="0" applyNumberFormat="1" applyFont="1" applyFill="1" applyBorder="1" applyAlignment="1" applyProtection="1">
      <alignment horizontal="right" vertical="center" wrapText="1"/>
    </xf>
    <xf numFmtId="0" fontId="13" fillId="0" borderId="0" xfId="0" applyFont="1" applyFill="1" applyBorder="1"/>
    <xf numFmtId="0" fontId="12" fillId="0" borderId="0" xfId="0" applyNumberFormat="1" applyFont="1" applyFill="1" applyBorder="1" applyAlignment="1" applyProtection="1"/>
    <xf numFmtId="4" fontId="12" fillId="0" borderId="0" xfId="0" applyNumberFormat="1" applyFont="1" applyFill="1" applyBorder="1" applyAlignment="1" applyProtection="1"/>
    <xf numFmtId="44" fontId="12" fillId="0" borderId="0" xfId="1" applyFont="1" applyFill="1" applyBorder="1" applyAlignment="1" applyProtection="1"/>
    <xf numFmtId="3" fontId="12" fillId="0" borderId="0" xfId="0" applyNumberFormat="1" applyFont="1" applyFill="1" applyBorder="1" applyAlignment="1" applyProtection="1"/>
    <xf numFmtId="3" fontId="14" fillId="0" borderId="0" xfId="0" applyNumberFormat="1" applyFont="1" applyFill="1" applyBorder="1" applyAlignment="1" applyProtection="1"/>
    <xf numFmtId="164" fontId="12" fillId="0" borderId="0" xfId="0" applyNumberFormat="1" applyFont="1" applyFill="1" applyBorder="1" applyAlignment="1" applyProtection="1">
      <alignment horizontal="left" indent="1"/>
    </xf>
    <xf numFmtId="164" fontId="12" fillId="0" borderId="0" xfId="0" applyNumberFormat="1" applyFont="1" applyFill="1" applyBorder="1" applyAlignment="1" applyProtection="1"/>
    <xf numFmtId="1" fontId="1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/>
    <xf numFmtId="0" fontId="15" fillId="0" borderId="0" xfId="0" applyFont="1" applyFill="1" applyBorder="1"/>
    <xf numFmtId="165" fontId="13" fillId="0" borderId="0" xfId="0" applyNumberFormat="1" applyFont="1" applyFill="1" applyBorder="1"/>
    <xf numFmtId="44" fontId="13" fillId="0" borderId="0" xfId="0" applyNumberFormat="1" applyFont="1" applyFill="1" applyBorder="1"/>
    <xf numFmtId="164" fontId="13" fillId="0" borderId="0" xfId="0" applyNumberFormat="1" applyFont="1" applyFill="1" applyBorder="1"/>
    <xf numFmtId="4" fontId="13" fillId="0" borderId="0" xfId="0" applyNumberFormat="1" applyFont="1" applyFill="1" applyBorder="1"/>
    <xf numFmtId="164" fontId="16" fillId="0" borderId="0" xfId="0" applyNumberFormat="1" applyFont="1" applyFill="1" applyBorder="1"/>
    <xf numFmtId="0" fontId="16" fillId="0" borderId="0" xfId="0" applyFont="1" applyFill="1" applyBorder="1"/>
    <xf numFmtId="0" fontId="17" fillId="0" borderId="0" xfId="0" applyNumberFormat="1" applyFont="1" applyFill="1" applyBorder="1" applyAlignment="1" applyProtection="1">
      <alignment horizontal="left" vertical="top"/>
    </xf>
    <xf numFmtId="0" fontId="4" fillId="0" borderId="0" xfId="2" applyFont="1" applyFill="1" applyBorder="1" applyAlignment="1"/>
    <xf numFmtId="0" fontId="4" fillId="0" borderId="0" xfId="2" applyFont="1" applyFill="1" applyBorder="1"/>
    <xf numFmtId="0" fontId="18" fillId="0" borderId="0" xfId="2" applyFont="1" applyFill="1" applyBorder="1" applyAlignment="1"/>
    <xf numFmtId="0" fontId="4" fillId="0" borderId="0" xfId="0" applyFont="1" applyFill="1" applyBorder="1"/>
    <xf numFmtId="0" fontId="14" fillId="0" borderId="0" xfId="0" applyNumberFormat="1" applyFont="1" applyFill="1" applyBorder="1" applyAlignment="1" applyProtection="1">
      <alignment horizontal="right" vertical="center" wrapText="1"/>
    </xf>
    <xf numFmtId="0" fontId="12" fillId="0" borderId="12" xfId="0" applyNumberFormat="1" applyFont="1" applyFill="1" applyBorder="1" applyAlignment="1" applyProtection="1">
      <alignment horizontal="right" vertical="center" wrapText="1"/>
    </xf>
    <xf numFmtId="0" fontId="14" fillId="0" borderId="13" xfId="0" applyNumberFormat="1" applyFont="1" applyFill="1" applyBorder="1" applyAlignment="1" applyProtection="1">
      <alignment horizontal="right" vertical="center" wrapText="1"/>
    </xf>
    <xf numFmtId="0" fontId="12" fillId="0" borderId="12" xfId="0" applyNumberFormat="1" applyFont="1" applyFill="1" applyBorder="1" applyAlignment="1" applyProtection="1"/>
    <xf numFmtId="44" fontId="12" fillId="0" borderId="13" xfId="1" applyFont="1" applyFill="1" applyBorder="1" applyAlignment="1" applyProtection="1"/>
    <xf numFmtId="0" fontId="12" fillId="0" borderId="10" xfId="0" applyNumberFormat="1" applyFont="1" applyFill="1" applyBorder="1" applyAlignment="1" applyProtection="1"/>
    <xf numFmtId="4" fontId="12" fillId="0" borderId="7" xfId="0" applyNumberFormat="1" applyFont="1" applyFill="1" applyBorder="1" applyAlignment="1" applyProtection="1"/>
    <xf numFmtId="44" fontId="12" fillId="0" borderId="7" xfId="1" applyFont="1" applyFill="1" applyBorder="1" applyAlignment="1" applyProtection="1"/>
    <xf numFmtId="44" fontId="12" fillId="0" borderId="11" xfId="1" applyFont="1" applyFill="1" applyBorder="1" applyAlignment="1" applyProtection="1"/>
    <xf numFmtId="4" fontId="12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164" fontId="0" fillId="0" borderId="14" xfId="0" applyNumberFormat="1" applyBorder="1"/>
    <xf numFmtId="164" fontId="0" fillId="0" borderId="0" xfId="0" applyNumberFormat="1" applyBorder="1"/>
    <xf numFmtId="164" fontId="0" fillId="3" borderId="14" xfId="0" applyNumberFormat="1" applyFill="1" applyBorder="1"/>
    <xf numFmtId="0" fontId="0" fillId="0" borderId="15" xfId="0" applyBorder="1"/>
    <xf numFmtId="0" fontId="2" fillId="0" borderId="15" xfId="0" applyFont="1" applyBorder="1"/>
    <xf numFmtId="0" fontId="5" fillId="0" borderId="8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Border="1" applyAlignment="1"/>
    <xf numFmtId="0" fontId="0" fillId="0" borderId="17" xfId="0" applyBorder="1"/>
    <xf numFmtId="0" fontId="0" fillId="0" borderId="16" xfId="0" applyBorder="1"/>
    <xf numFmtId="0" fontId="0" fillId="0" borderId="18" xfId="0" applyBorder="1"/>
    <xf numFmtId="0" fontId="22" fillId="0" borderId="0" xfId="0" applyFont="1" applyBorder="1" applyAlignment="1">
      <alignment horizontal="left" vertical="center"/>
    </xf>
    <xf numFmtId="0" fontId="21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24" fillId="0" borderId="0" xfId="0" applyFont="1" applyBorder="1"/>
    <xf numFmtId="0" fontId="23" fillId="0" borderId="0" xfId="0" applyFont="1" applyBorder="1"/>
    <xf numFmtId="164" fontId="0" fillId="3" borderId="0" xfId="0" applyNumberFormat="1" applyFill="1" applyBorder="1"/>
    <xf numFmtId="0" fontId="0" fillId="0" borderId="19" xfId="0" applyBorder="1"/>
    <xf numFmtId="0" fontId="7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164" fontId="2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3">
    <cellStyle name="Standard" xfId="0" builtinId="0"/>
    <cellStyle name="Standard 3 2" xfId="2"/>
    <cellStyle name="Währung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189443</xdr:colOff>
      <xdr:row>1</xdr:row>
      <xdr:rowOff>29634</xdr:rowOff>
    </xdr:from>
    <xdr:to>
      <xdr:col>8</xdr:col>
      <xdr:colOff>158751</xdr:colOff>
      <xdr:row>3</xdr:row>
      <xdr:rowOff>258234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FE577AB-7748-44D7-8608-649280E23A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0360" y="124884"/>
          <a:ext cx="1652058" cy="609600"/>
        </a:xfrm>
        <a:prstGeom prst="rect">
          <a:avLst/>
        </a:prstGeom>
      </xdr:spPr>
    </xdr:pic>
    <xdr:clientData/>
  </xdr:twoCellAnchor>
  <xdr:twoCellAnchor>
    <xdr:from>
      <xdr:col>1</xdr:col>
      <xdr:colOff>1015999</xdr:colOff>
      <xdr:row>8</xdr:row>
      <xdr:rowOff>127001</xdr:rowOff>
    </xdr:from>
    <xdr:to>
      <xdr:col>2</xdr:col>
      <xdr:colOff>10583</xdr:colOff>
      <xdr:row>10</xdr:row>
      <xdr:rowOff>21168</xdr:rowOff>
    </xdr:to>
    <xdr:sp macro="" textlink="">
      <xdr:nvSpPr>
        <xdr:cNvPr id="2" name="Pfeil: nach rechts 1">
          <a:extLst>
            <a:ext uri="{FF2B5EF4-FFF2-40B4-BE49-F238E27FC236}">
              <a16:creationId xmlns:a16="http://schemas.microsoft.com/office/drawing/2014/main" id="{159FE1DB-15E9-49DE-B2B2-AAEE27E94EBD}"/>
            </a:ext>
          </a:extLst>
        </xdr:cNvPr>
        <xdr:cNvSpPr/>
      </xdr:nvSpPr>
      <xdr:spPr>
        <a:xfrm>
          <a:off x="1777999" y="1756834"/>
          <a:ext cx="433917" cy="296334"/>
        </a:xfrm>
        <a:prstGeom prst="rightArrow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14</xdr:col>
      <xdr:colOff>74084</xdr:colOff>
      <xdr:row>29</xdr:row>
      <xdr:rowOff>31750</xdr:rowOff>
    </xdr:from>
    <xdr:to>
      <xdr:col>14</xdr:col>
      <xdr:colOff>677333</xdr:colOff>
      <xdr:row>36</xdr:row>
      <xdr:rowOff>52916</xdr:rowOff>
    </xdr:to>
    <xdr:sp macro="" textlink="">
      <xdr:nvSpPr>
        <xdr:cNvPr id="6" name="Nach links gekrümmter Pfeil 5"/>
        <xdr:cNvSpPr/>
      </xdr:nvSpPr>
      <xdr:spPr>
        <a:xfrm>
          <a:off x="12096751" y="5852583"/>
          <a:ext cx="603249" cy="150283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19</xdr:col>
      <xdr:colOff>656168</xdr:colOff>
      <xdr:row>0</xdr:row>
      <xdr:rowOff>81492</xdr:rowOff>
    </xdr:from>
    <xdr:to>
      <xdr:col>21</xdr:col>
      <xdr:colOff>43393</xdr:colOff>
      <xdr:row>3</xdr:row>
      <xdr:rowOff>229660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6FE577AB-7748-44D7-8608-649280E23A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46085" y="81492"/>
          <a:ext cx="1652058" cy="6244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A47"/>
  <sheetViews>
    <sheetView showGridLines="0" tabSelected="1" showRuler="0" zoomScale="90" zoomScaleNormal="90" zoomScaleSheetLayoutView="100" zoomScalePageLayoutView="80" workbookViewId="0">
      <selection activeCell="E10" sqref="E10"/>
    </sheetView>
  </sheetViews>
  <sheetFormatPr baseColWidth="10" defaultRowHeight="15" x14ac:dyDescent="0.25"/>
  <cols>
    <col min="1" max="1" width="15.42578125" customWidth="1"/>
    <col min="2" max="2" width="21.5703125" customWidth="1"/>
    <col min="3" max="3" width="11" customWidth="1"/>
    <col min="4" max="4" width="11.42578125" customWidth="1"/>
    <col min="5" max="5" width="16.28515625" customWidth="1"/>
    <col min="6" max="7" width="8.85546875" customWidth="1"/>
    <col min="8" max="8" width="16.28515625" customWidth="1"/>
    <col min="9" max="9" width="16.5703125" customWidth="1"/>
    <col min="10" max="10" width="6.7109375" customWidth="1"/>
    <col min="13" max="13" width="13.42578125" customWidth="1"/>
    <col min="14" max="14" width="15.5703125" customWidth="1"/>
    <col min="15" max="15" width="17.85546875" customWidth="1"/>
    <col min="16" max="16" width="10.140625" customWidth="1"/>
    <col min="18" max="18" width="14.42578125" customWidth="1"/>
    <col min="20" max="20" width="16.28515625" customWidth="1"/>
    <col min="21" max="21" width="17.5703125" customWidth="1"/>
    <col min="22" max="22" width="3" customWidth="1"/>
  </cols>
  <sheetData>
    <row r="1" spans="2:27" ht="7.5" customHeight="1" x14ac:dyDescent="0.25">
      <c r="I1" s="77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W1" s="87"/>
    </row>
    <row r="2" spans="2:27" ht="15" customHeight="1" x14ac:dyDescent="0.25">
      <c r="B2" s="15" t="s">
        <v>29</v>
      </c>
      <c r="C2" s="16">
        <f ca="1">TODAY()</f>
        <v>44592</v>
      </c>
      <c r="I2" s="77"/>
      <c r="K2" s="98" t="s">
        <v>75</v>
      </c>
      <c r="L2" s="98"/>
      <c r="M2" s="98"/>
      <c r="N2" s="98"/>
      <c r="O2" s="98"/>
      <c r="P2" s="98"/>
      <c r="Q2" s="98"/>
      <c r="R2" s="98"/>
      <c r="S2" s="98"/>
      <c r="T2" s="98"/>
      <c r="U2" s="98"/>
      <c r="V2" s="77"/>
    </row>
    <row r="3" spans="2:27" ht="15" customHeight="1" x14ac:dyDescent="0.25">
      <c r="I3" s="77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77"/>
    </row>
    <row r="4" spans="2:27" ht="23.25" x14ac:dyDescent="0.35">
      <c r="B4" s="99" t="s">
        <v>34</v>
      </c>
      <c r="C4" s="99"/>
      <c r="D4" s="99"/>
      <c r="E4" s="99"/>
      <c r="F4" s="99"/>
      <c r="G4" s="99"/>
      <c r="H4" s="99"/>
      <c r="I4" s="7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77"/>
    </row>
    <row r="5" spans="2:27" ht="18.75" x14ac:dyDescent="0.25">
      <c r="I5" s="77"/>
      <c r="K5" s="79" t="s">
        <v>20</v>
      </c>
      <c r="L5" s="80"/>
      <c r="M5" s="80"/>
      <c r="N5" s="80"/>
      <c r="O5" s="81"/>
      <c r="P5" s="2"/>
      <c r="Q5" s="79" t="s">
        <v>0</v>
      </c>
      <c r="R5" s="80"/>
      <c r="S5" s="80"/>
      <c r="T5" s="80"/>
      <c r="U5" s="81"/>
      <c r="V5" s="77"/>
    </row>
    <row r="6" spans="2:27" ht="18.75" x14ac:dyDescent="0.25">
      <c r="B6" s="13" t="s">
        <v>62</v>
      </c>
      <c r="C6" s="13"/>
      <c r="D6" s="13"/>
      <c r="E6" s="13"/>
      <c r="F6" s="13"/>
      <c r="G6" s="13"/>
      <c r="H6" s="13"/>
      <c r="I6" s="77"/>
      <c r="K6" s="82"/>
      <c r="L6" s="83"/>
      <c r="M6" s="83"/>
      <c r="N6" s="83"/>
      <c r="O6" s="84"/>
      <c r="P6" s="2"/>
      <c r="Q6" s="82"/>
      <c r="R6" s="83"/>
      <c r="S6" s="83"/>
      <c r="T6" s="83"/>
      <c r="U6" s="84"/>
      <c r="V6" s="77"/>
    </row>
    <row r="7" spans="2:27" ht="30" x14ac:dyDescent="0.25">
      <c r="B7" s="13" t="s">
        <v>47</v>
      </c>
      <c r="C7" s="13"/>
      <c r="D7" s="13"/>
      <c r="E7" s="27"/>
      <c r="F7" s="13"/>
      <c r="G7" s="13"/>
      <c r="H7" s="13"/>
      <c r="I7" s="77"/>
      <c r="K7" s="64" t="s">
        <v>5</v>
      </c>
      <c r="L7" s="36" t="s">
        <v>6</v>
      </c>
      <c r="M7" s="36" t="s">
        <v>7</v>
      </c>
      <c r="N7" s="63" t="s">
        <v>69</v>
      </c>
      <c r="O7" s="65" t="s">
        <v>68</v>
      </c>
      <c r="P7" s="2"/>
      <c r="Q7" s="64" t="s">
        <v>5</v>
      </c>
      <c r="R7" s="36" t="s">
        <v>6</v>
      </c>
      <c r="S7" s="36" t="s">
        <v>7</v>
      </c>
      <c r="T7" s="63" t="s">
        <v>67</v>
      </c>
      <c r="U7" s="65" t="s">
        <v>68</v>
      </c>
      <c r="V7" s="77"/>
    </row>
    <row r="8" spans="2:27" ht="15.75" x14ac:dyDescent="0.25">
      <c r="B8" s="28" t="s">
        <v>33</v>
      </c>
      <c r="C8" s="13"/>
      <c r="D8" s="13"/>
      <c r="E8" s="27"/>
      <c r="F8" s="13"/>
      <c r="G8" s="13"/>
      <c r="H8" s="13"/>
      <c r="I8" s="77"/>
      <c r="K8" s="66">
        <v>1</v>
      </c>
      <c r="L8" s="39">
        <v>0</v>
      </c>
      <c r="M8" s="39">
        <v>30</v>
      </c>
      <c r="N8" s="40">
        <v>3</v>
      </c>
      <c r="O8" s="67">
        <v>128</v>
      </c>
      <c r="P8" s="2"/>
      <c r="Q8" s="66">
        <v>1</v>
      </c>
      <c r="R8" s="39">
        <v>0</v>
      </c>
      <c r="S8" s="39">
        <v>30</v>
      </c>
      <c r="T8" s="40">
        <v>2.36</v>
      </c>
      <c r="U8" s="67">
        <v>16.080000000000002</v>
      </c>
      <c r="V8" s="77"/>
    </row>
    <row r="9" spans="2:27" ht="15.75" thickBot="1" x14ac:dyDescent="0.3">
      <c r="E9" s="5"/>
      <c r="I9" s="77"/>
      <c r="K9" s="66">
        <f t="shared" ref="K9:K14" si="0">+K8+1</f>
        <v>2</v>
      </c>
      <c r="L9" s="39">
        <f t="shared" ref="L9:L15" si="1">M8+1</f>
        <v>31</v>
      </c>
      <c r="M9" s="39">
        <v>150</v>
      </c>
      <c r="N9" s="40">
        <v>4.05</v>
      </c>
      <c r="O9" s="67">
        <f>18.17*12</f>
        <v>218.04000000000002</v>
      </c>
      <c r="P9" s="2"/>
      <c r="Q9" s="66">
        <f t="shared" ref="Q9:Q14" si="2">+Q8+1</f>
        <v>2</v>
      </c>
      <c r="R9" s="39">
        <f t="shared" ref="R9:R15" si="3">S8+1</f>
        <v>31</v>
      </c>
      <c r="S9" s="39">
        <v>150</v>
      </c>
      <c r="T9" s="40">
        <v>3.12</v>
      </c>
      <c r="U9" s="67">
        <v>87</v>
      </c>
      <c r="V9" s="77"/>
    </row>
    <row r="10" spans="2:27" ht="15.75" customHeight="1" thickBot="1" x14ac:dyDescent="0.35">
      <c r="C10" s="101" t="s">
        <v>63</v>
      </c>
      <c r="D10" s="102"/>
      <c r="E10" s="25">
        <v>150</v>
      </c>
      <c r="F10" s="3" t="s">
        <v>23</v>
      </c>
      <c r="I10" s="77"/>
      <c r="K10" s="66">
        <f t="shared" si="0"/>
        <v>3</v>
      </c>
      <c r="L10" s="39">
        <f t="shared" si="1"/>
        <v>151</v>
      </c>
      <c r="M10" s="39">
        <v>250</v>
      </c>
      <c r="N10" s="40">
        <v>4.9000000000000004</v>
      </c>
      <c r="O10" s="67">
        <f>58.67*12</f>
        <v>704.04</v>
      </c>
      <c r="P10" s="2"/>
      <c r="Q10" s="66">
        <f t="shared" si="2"/>
        <v>3</v>
      </c>
      <c r="R10" s="39">
        <f t="shared" si="3"/>
        <v>151</v>
      </c>
      <c r="S10" s="39">
        <v>250</v>
      </c>
      <c r="T10" s="40">
        <v>3.47</v>
      </c>
      <c r="U10" s="67">
        <v>461.52</v>
      </c>
      <c r="V10" s="77"/>
    </row>
    <row r="11" spans="2:27" x14ac:dyDescent="0.25">
      <c r="E11" s="5"/>
      <c r="I11" s="77"/>
      <c r="K11" s="66">
        <f t="shared" si="0"/>
        <v>4</v>
      </c>
      <c r="L11" s="39">
        <f t="shared" si="1"/>
        <v>251</v>
      </c>
      <c r="M11" s="39">
        <v>500</v>
      </c>
      <c r="N11" s="40">
        <v>5.39</v>
      </c>
      <c r="O11" s="67">
        <f>99.5*12</f>
        <v>1194</v>
      </c>
      <c r="P11" s="2"/>
      <c r="Q11" s="66">
        <f t="shared" si="2"/>
        <v>4</v>
      </c>
      <c r="R11" s="39">
        <f t="shared" si="3"/>
        <v>251</v>
      </c>
      <c r="S11" s="39">
        <v>500</v>
      </c>
      <c r="T11" s="40">
        <v>3.53</v>
      </c>
      <c r="U11" s="67">
        <v>808.08</v>
      </c>
      <c r="V11" s="77"/>
    </row>
    <row r="12" spans="2:27" ht="18.75" x14ac:dyDescent="0.3">
      <c r="B12" s="6" t="s">
        <v>0</v>
      </c>
      <c r="C12" s="6"/>
      <c r="E12" s="7">
        <v>2021</v>
      </c>
      <c r="H12" s="7">
        <v>2020</v>
      </c>
      <c r="I12" s="77"/>
      <c r="K12" s="66">
        <f t="shared" si="0"/>
        <v>5</v>
      </c>
      <c r="L12" s="39">
        <f t="shared" si="1"/>
        <v>501</v>
      </c>
      <c r="M12" s="39">
        <v>1000</v>
      </c>
      <c r="N12" s="40">
        <v>5.39</v>
      </c>
      <c r="O12" s="67">
        <f>211.79*12</f>
        <v>2541.48</v>
      </c>
      <c r="P12" s="2"/>
      <c r="Q12" s="66">
        <f t="shared" si="2"/>
        <v>5</v>
      </c>
      <c r="R12" s="39">
        <f t="shared" si="3"/>
        <v>501</v>
      </c>
      <c r="S12" s="39">
        <v>1000</v>
      </c>
      <c r="T12" s="40">
        <v>3.53</v>
      </c>
      <c r="U12" s="67">
        <v>1691.52</v>
      </c>
      <c r="V12" s="77"/>
    </row>
    <row r="13" spans="2:27" ht="15.75" thickBot="1" x14ac:dyDescent="0.3">
      <c r="E13" s="5"/>
      <c r="H13" s="5"/>
      <c r="I13" s="77"/>
      <c r="K13" s="66">
        <f t="shared" si="0"/>
        <v>6</v>
      </c>
      <c r="L13" s="39">
        <f t="shared" si="1"/>
        <v>1001</v>
      </c>
      <c r="M13" s="39">
        <v>5000</v>
      </c>
      <c r="N13" s="40">
        <v>5.39</v>
      </c>
      <c r="O13" s="67">
        <f>436.38*12</f>
        <v>5236.5599999999995</v>
      </c>
      <c r="P13" s="2"/>
      <c r="Q13" s="66">
        <f t="shared" si="2"/>
        <v>6</v>
      </c>
      <c r="R13" s="39">
        <f t="shared" si="3"/>
        <v>1001</v>
      </c>
      <c r="S13" s="39">
        <v>5000</v>
      </c>
      <c r="T13" s="40">
        <v>3.53</v>
      </c>
      <c r="U13" s="67">
        <v>3458.5199999999995</v>
      </c>
      <c r="V13" s="77"/>
    </row>
    <row r="14" spans="2:27" ht="15.75" thickBot="1" x14ac:dyDescent="0.3">
      <c r="B14" t="s">
        <v>1</v>
      </c>
      <c r="D14" s="19"/>
      <c r="E14" s="8">
        <f>+Was!H30</f>
        <v>374.40000000000003</v>
      </c>
      <c r="F14" t="s">
        <v>60</v>
      </c>
      <c r="H14" s="8">
        <f>+Was!Q30</f>
        <v>321</v>
      </c>
      <c r="I14" s="77" t="s">
        <v>60</v>
      </c>
      <c r="K14" s="66">
        <f t="shared" si="0"/>
        <v>7</v>
      </c>
      <c r="L14" s="39">
        <f t="shared" si="1"/>
        <v>5001</v>
      </c>
      <c r="M14" s="39">
        <v>7500</v>
      </c>
      <c r="N14" s="40">
        <v>5.39</v>
      </c>
      <c r="O14" s="67">
        <f>2233.04*12</f>
        <v>26796.48</v>
      </c>
      <c r="P14" s="2"/>
      <c r="Q14" s="66">
        <f t="shared" si="2"/>
        <v>7</v>
      </c>
      <c r="R14" s="39">
        <f t="shared" si="3"/>
        <v>5001</v>
      </c>
      <c r="S14" s="39">
        <v>7500</v>
      </c>
      <c r="T14" s="40">
        <v>3.53</v>
      </c>
      <c r="U14" s="67">
        <v>17594.760000000002</v>
      </c>
      <c r="V14" s="77"/>
      <c r="AA14" s="1"/>
    </row>
    <row r="15" spans="2:27" ht="15.75" customHeight="1" thickBot="1" x14ac:dyDescent="0.3">
      <c r="D15" s="19"/>
      <c r="E15" s="12"/>
      <c r="H15" s="12"/>
      <c r="I15" s="77"/>
      <c r="K15" s="66">
        <v>8</v>
      </c>
      <c r="L15" s="39">
        <f t="shared" si="1"/>
        <v>7501</v>
      </c>
      <c r="M15" s="39">
        <v>20000</v>
      </c>
      <c r="N15" s="40">
        <v>5.39</v>
      </c>
      <c r="O15" s="67">
        <f>3355.96*12</f>
        <v>40271.520000000004</v>
      </c>
      <c r="P15" s="2"/>
      <c r="Q15" s="66">
        <v>8</v>
      </c>
      <c r="R15" s="39">
        <f t="shared" si="3"/>
        <v>7501</v>
      </c>
      <c r="S15" s="39">
        <v>20000</v>
      </c>
      <c r="T15" s="40">
        <v>3.53</v>
      </c>
      <c r="U15" s="67">
        <v>26429.879999999997</v>
      </c>
      <c r="V15" s="77"/>
    </row>
    <row r="16" spans="2:27" ht="15.75" thickBot="1" x14ac:dyDescent="0.3">
      <c r="B16" t="s">
        <v>2</v>
      </c>
      <c r="D16" s="19"/>
      <c r="E16" s="8">
        <f>+Was!J32</f>
        <v>87</v>
      </c>
      <c r="F16" t="s">
        <v>60</v>
      </c>
      <c r="H16" s="8">
        <f>+Was!T32</f>
        <v>81.960000000000008</v>
      </c>
      <c r="I16" s="77" t="s">
        <v>60</v>
      </c>
      <c r="J16" s="14"/>
      <c r="K16" s="68">
        <v>9</v>
      </c>
      <c r="L16" s="69">
        <v>20001</v>
      </c>
      <c r="M16" s="69"/>
      <c r="N16" s="70">
        <v>5.39</v>
      </c>
      <c r="O16" s="71">
        <f>8970.54*12</f>
        <v>107646.48000000001</v>
      </c>
      <c r="P16" s="2"/>
      <c r="Q16" s="68">
        <v>9</v>
      </c>
      <c r="R16" s="69">
        <v>20001</v>
      </c>
      <c r="S16" s="69"/>
      <c r="T16" s="70">
        <v>3.53</v>
      </c>
      <c r="U16" s="71">
        <v>70605.600000000006</v>
      </c>
      <c r="V16" s="77"/>
    </row>
    <row r="17" spans="2:22" ht="10.5" customHeight="1" thickBot="1" x14ac:dyDescent="0.3">
      <c r="D17" s="19"/>
      <c r="E17" s="12"/>
      <c r="H17" s="12"/>
      <c r="I17" s="77"/>
      <c r="K17" s="2"/>
      <c r="L17" s="2"/>
      <c r="M17" s="2"/>
      <c r="N17" s="1"/>
      <c r="O17" s="2"/>
      <c r="P17" s="2"/>
      <c r="Q17" s="2"/>
      <c r="R17" s="2"/>
      <c r="S17" s="2"/>
      <c r="T17" s="2"/>
      <c r="U17" s="2"/>
      <c r="V17" s="77"/>
    </row>
    <row r="18" spans="2:22" ht="16.5" thickBot="1" x14ac:dyDescent="0.3">
      <c r="B18" t="s">
        <v>59</v>
      </c>
      <c r="D18" s="26"/>
      <c r="E18" s="8">
        <f>+Was!N30</f>
        <v>40.799999999999997</v>
      </c>
      <c r="F18" t="s">
        <v>60</v>
      </c>
      <c r="G18" s="14"/>
      <c r="H18" s="8">
        <f>+Was!U30</f>
        <v>40.799999999999997</v>
      </c>
      <c r="I18" s="77" t="s">
        <v>60</v>
      </c>
      <c r="K18" s="90" t="s">
        <v>89</v>
      </c>
      <c r="L18" s="91"/>
      <c r="M18" s="2"/>
      <c r="N18" s="1"/>
      <c r="O18" s="2"/>
      <c r="P18" s="2"/>
      <c r="Q18" s="2"/>
      <c r="R18" s="2"/>
      <c r="S18" s="2"/>
      <c r="T18" s="2"/>
      <c r="U18" s="2"/>
      <c r="V18" s="77"/>
    </row>
    <row r="19" spans="2:22" ht="16.5" thickBot="1" x14ac:dyDescent="0.3">
      <c r="D19" s="19"/>
      <c r="E19" s="10"/>
      <c r="F19" s="3"/>
      <c r="H19" s="10"/>
      <c r="I19" s="78"/>
      <c r="K19" s="91" t="s">
        <v>76</v>
      </c>
      <c r="L19" s="91"/>
      <c r="M19" s="2"/>
      <c r="N19" s="1"/>
      <c r="O19" s="2"/>
      <c r="P19" s="2"/>
      <c r="Q19" s="2"/>
      <c r="R19" s="2"/>
      <c r="S19" s="2"/>
      <c r="T19" s="2"/>
      <c r="U19" s="2"/>
      <c r="V19" s="77"/>
    </row>
    <row r="20" spans="2:22" ht="16.5" thickBot="1" x14ac:dyDescent="0.3">
      <c r="B20" t="s">
        <v>48</v>
      </c>
      <c r="D20" s="19"/>
      <c r="E20" s="8">
        <f>+Was!P30</f>
        <v>16.68</v>
      </c>
      <c r="F20" t="s">
        <v>60</v>
      </c>
      <c r="H20" s="8">
        <f>+Was!V30</f>
        <v>16.68</v>
      </c>
      <c r="I20" s="77" t="s">
        <v>60</v>
      </c>
      <c r="K20" s="91" t="s">
        <v>77</v>
      </c>
      <c r="L20" s="91"/>
      <c r="M20" s="2"/>
      <c r="N20" s="1"/>
      <c r="O20" s="2"/>
      <c r="P20" s="2"/>
      <c r="Q20" s="2"/>
      <c r="R20" s="2"/>
      <c r="S20" s="2"/>
      <c r="T20" s="2"/>
      <c r="U20" s="2"/>
      <c r="V20" s="77"/>
    </row>
    <row r="21" spans="2:22" ht="7.5" customHeight="1" x14ac:dyDescent="0.25">
      <c r="B21" s="9"/>
      <c r="C21" s="9"/>
      <c r="D21" s="20"/>
      <c r="E21" s="11"/>
      <c r="F21" s="9"/>
      <c r="G21" s="9"/>
      <c r="H21" s="11"/>
      <c r="I21" s="77"/>
      <c r="K21" s="91"/>
      <c r="L21" s="91"/>
      <c r="M21" s="2"/>
      <c r="N21" s="1"/>
      <c r="O21" s="2"/>
      <c r="P21" s="2"/>
      <c r="Q21" s="2"/>
      <c r="R21" s="2"/>
      <c r="S21" s="2"/>
      <c r="T21" s="2"/>
      <c r="U21" s="2"/>
      <c r="V21" s="77"/>
    </row>
    <row r="22" spans="2:22" ht="10.5" customHeight="1" thickBot="1" x14ac:dyDescent="0.3">
      <c r="D22" s="19"/>
      <c r="E22" s="12"/>
      <c r="H22" s="12"/>
      <c r="I22" s="77"/>
      <c r="K22" s="91"/>
      <c r="L22" s="91"/>
      <c r="M22" s="2"/>
      <c r="N22" s="1"/>
      <c r="O22" s="2"/>
      <c r="P22" s="2"/>
      <c r="Q22" s="2"/>
      <c r="R22" s="2"/>
      <c r="S22" s="2"/>
      <c r="T22" s="2"/>
      <c r="U22" s="2"/>
      <c r="V22" s="77"/>
    </row>
    <row r="23" spans="2:22" ht="18" thickBot="1" x14ac:dyDescent="0.35">
      <c r="B23" s="32" t="s">
        <v>66</v>
      </c>
      <c r="D23" s="19"/>
      <c r="E23" s="17">
        <f>E14+E16+E18+E20</f>
        <v>518.88</v>
      </c>
      <c r="F23" t="s">
        <v>60</v>
      </c>
      <c r="H23" s="17">
        <f>H14+H16+H18+H20</f>
        <v>460.44000000000005</v>
      </c>
      <c r="I23" s="77" t="s">
        <v>60</v>
      </c>
      <c r="K23" s="90" t="s">
        <v>78</v>
      </c>
      <c r="L23" s="91"/>
      <c r="M23" s="2"/>
      <c r="N23" s="1"/>
      <c r="O23" s="2"/>
      <c r="P23" s="2"/>
      <c r="Q23" s="2"/>
      <c r="R23" s="2"/>
      <c r="S23" s="2"/>
      <c r="T23" s="2"/>
      <c r="U23" s="2"/>
      <c r="V23" s="77"/>
    </row>
    <row r="24" spans="2:22" ht="8.25" customHeight="1" x14ac:dyDescent="0.25">
      <c r="B24" s="2"/>
      <c r="D24" s="19"/>
      <c r="E24" s="18"/>
      <c r="F24" s="19"/>
      <c r="G24" s="19"/>
      <c r="H24" s="18"/>
      <c r="I24" s="77"/>
      <c r="K24" s="2"/>
      <c r="L24" s="2"/>
      <c r="M24" s="2"/>
      <c r="N24" s="1"/>
      <c r="O24" s="2"/>
      <c r="P24" s="2"/>
      <c r="Q24" s="2"/>
      <c r="R24" s="2"/>
      <c r="S24" s="2"/>
      <c r="T24" s="2"/>
      <c r="U24" s="2"/>
      <c r="V24" s="77"/>
    </row>
    <row r="25" spans="2:22" ht="30" customHeight="1" x14ac:dyDescent="0.3">
      <c r="B25" s="2"/>
      <c r="D25" s="19"/>
      <c r="E25" s="100" t="s">
        <v>61</v>
      </c>
      <c r="F25" s="100"/>
      <c r="G25" s="100"/>
      <c r="H25" s="100"/>
      <c r="I25" s="77"/>
      <c r="K25" s="2"/>
      <c r="L25" s="92" t="s">
        <v>71</v>
      </c>
      <c r="M25" s="92"/>
      <c r="N25" s="93">
        <v>150</v>
      </c>
      <c r="O25" s="73" t="s">
        <v>23</v>
      </c>
      <c r="P25" s="94" t="s">
        <v>79</v>
      </c>
      <c r="Q25" s="2"/>
      <c r="R25" s="2"/>
      <c r="S25" s="2"/>
      <c r="T25" s="2"/>
      <c r="U25" s="2"/>
      <c r="V25" s="77"/>
    </row>
    <row r="26" spans="2:22" ht="6" customHeight="1" x14ac:dyDescent="0.25">
      <c r="B26" s="20"/>
      <c r="C26" s="20"/>
      <c r="D26" s="20"/>
      <c r="E26" s="21"/>
      <c r="F26" s="20"/>
      <c r="G26" s="20"/>
      <c r="H26" s="21"/>
      <c r="I26" s="7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77"/>
    </row>
    <row r="27" spans="2:22" x14ac:dyDescent="0.25">
      <c r="E27" s="5"/>
      <c r="H27" s="5"/>
      <c r="I27" s="77"/>
      <c r="K27" s="2"/>
      <c r="L27" s="2" t="s">
        <v>72</v>
      </c>
      <c r="M27" s="2"/>
      <c r="N27" s="2"/>
      <c r="O27" s="2"/>
      <c r="P27" s="95" t="s">
        <v>80</v>
      </c>
      <c r="Q27" s="2"/>
      <c r="R27" s="2"/>
      <c r="S27" s="2"/>
      <c r="T27" s="2"/>
      <c r="U27" s="2"/>
      <c r="V27" s="77"/>
    </row>
    <row r="28" spans="2:22" ht="18.75" x14ac:dyDescent="0.3">
      <c r="B28" s="6" t="s">
        <v>20</v>
      </c>
      <c r="C28" s="6"/>
      <c r="E28" s="7">
        <v>2021</v>
      </c>
      <c r="H28" s="7">
        <v>2020</v>
      </c>
      <c r="I28" s="77"/>
      <c r="K28" s="2"/>
      <c r="L28" s="4" t="s">
        <v>73</v>
      </c>
      <c r="M28" s="4"/>
      <c r="N28" s="75">
        <v>486</v>
      </c>
      <c r="O28" s="2"/>
      <c r="P28" s="95" t="s">
        <v>90</v>
      </c>
      <c r="Q28" s="2"/>
      <c r="R28" s="2"/>
      <c r="S28" s="2"/>
      <c r="T28" s="2"/>
      <c r="U28" s="2"/>
      <c r="V28" s="77"/>
    </row>
    <row r="29" spans="2:22" ht="15.75" thickBot="1" x14ac:dyDescent="0.3">
      <c r="E29" s="5"/>
      <c r="H29" s="5"/>
      <c r="I29" s="77"/>
      <c r="K29" s="2"/>
      <c r="L29" s="4" t="s">
        <v>74</v>
      </c>
      <c r="M29" s="4"/>
      <c r="N29" s="75">
        <v>218.04</v>
      </c>
      <c r="O29" s="2"/>
      <c r="P29" s="95" t="s">
        <v>91</v>
      </c>
      <c r="Q29" s="2"/>
      <c r="R29" s="86"/>
      <c r="S29" s="86"/>
      <c r="T29" s="75"/>
      <c r="U29" s="2"/>
      <c r="V29" s="77"/>
    </row>
    <row r="30" spans="2:22" ht="15.75" thickBot="1" x14ac:dyDescent="0.3">
      <c r="B30" t="s">
        <v>21</v>
      </c>
      <c r="E30" s="8">
        <f>+Abw!G30</f>
        <v>486</v>
      </c>
      <c r="H30" s="8">
        <f>+Abw!L30</f>
        <v>456</v>
      </c>
      <c r="I30" s="77"/>
      <c r="K30" s="2"/>
      <c r="L30" s="2"/>
      <c r="M30" s="2"/>
      <c r="N30" s="76">
        <f>SUM(N28:N29)</f>
        <v>704.04</v>
      </c>
      <c r="O30" s="2"/>
      <c r="P30" s="2"/>
      <c r="Q30" s="2"/>
      <c r="R30" s="86"/>
      <c r="S30" s="86"/>
      <c r="T30" s="75"/>
      <c r="U30" s="2"/>
      <c r="V30" s="77"/>
    </row>
    <row r="31" spans="2:22" ht="15.75" thickBot="1" x14ac:dyDescent="0.3">
      <c r="E31" s="4"/>
      <c r="H31" s="4"/>
      <c r="I31" s="77"/>
      <c r="K31" s="2"/>
      <c r="L31" s="2"/>
      <c r="M31" s="2"/>
      <c r="N31" s="2"/>
      <c r="O31" s="2"/>
      <c r="P31" s="95" t="s">
        <v>81</v>
      </c>
      <c r="Q31" s="2"/>
      <c r="R31" s="2"/>
      <c r="S31" s="2"/>
      <c r="T31" s="75"/>
      <c r="U31" s="2"/>
      <c r="V31" s="77"/>
    </row>
    <row r="32" spans="2:22" ht="19.5" thickBot="1" x14ac:dyDescent="0.35">
      <c r="B32" t="s">
        <v>2</v>
      </c>
      <c r="E32" s="8">
        <f>+Abw!I32</f>
        <v>218.04000000000002</v>
      </c>
      <c r="H32" s="8">
        <f>+Abw!O32</f>
        <v>195.84000000000003</v>
      </c>
      <c r="I32" s="77"/>
      <c r="K32" s="2"/>
      <c r="L32" s="92" t="s">
        <v>71</v>
      </c>
      <c r="M32" s="92"/>
      <c r="N32" s="93">
        <v>155</v>
      </c>
      <c r="O32" s="93" t="s">
        <v>23</v>
      </c>
      <c r="P32" s="95" t="s">
        <v>88</v>
      </c>
      <c r="Q32" s="2"/>
      <c r="R32" s="2"/>
      <c r="S32" s="2"/>
      <c r="T32" s="75"/>
      <c r="U32" s="2"/>
      <c r="V32" s="77"/>
    </row>
    <row r="33" spans="1:22" ht="18" customHeight="1" thickBot="1" x14ac:dyDescent="0.35">
      <c r="E33" s="5"/>
      <c r="H33" s="5"/>
      <c r="I33" s="77"/>
      <c r="K33" s="2"/>
      <c r="L33" s="2"/>
      <c r="M33" s="2"/>
      <c r="N33" s="2"/>
      <c r="O33" s="93"/>
      <c r="P33" s="2"/>
      <c r="Q33" s="2"/>
      <c r="R33" s="2"/>
      <c r="S33" s="2"/>
      <c r="T33" s="75"/>
      <c r="U33" s="2"/>
      <c r="V33" s="77"/>
    </row>
    <row r="34" spans="1:22" ht="15.75" thickBot="1" x14ac:dyDescent="0.3">
      <c r="B34" t="s">
        <v>22</v>
      </c>
      <c r="E34" s="8">
        <f>+Abw!K30</f>
        <v>2.5</v>
      </c>
      <c r="H34" s="8">
        <f>+Abw!P30</f>
        <v>2.5</v>
      </c>
      <c r="I34" s="77"/>
      <c r="K34" s="2"/>
      <c r="L34" s="2" t="s">
        <v>72</v>
      </c>
      <c r="M34" s="2"/>
      <c r="N34" s="2"/>
      <c r="O34" s="2"/>
      <c r="P34" s="95" t="s">
        <v>82</v>
      </c>
      <c r="Q34" s="2"/>
      <c r="R34" s="2"/>
      <c r="S34" s="2"/>
      <c r="T34" s="75"/>
      <c r="U34" s="2"/>
      <c r="V34" s="77"/>
    </row>
    <row r="35" spans="1:22" ht="15.75" customHeight="1" x14ac:dyDescent="0.25">
      <c r="B35" s="9"/>
      <c r="C35" s="9"/>
      <c r="D35" s="9"/>
      <c r="E35" s="11"/>
      <c r="F35" s="9"/>
      <c r="G35" s="9"/>
      <c r="H35" s="11"/>
      <c r="I35" s="77"/>
      <c r="K35" s="2"/>
      <c r="L35" s="4" t="s">
        <v>73</v>
      </c>
      <c r="M35" s="4"/>
      <c r="N35" s="75">
        <v>24.5</v>
      </c>
      <c r="O35" s="2"/>
      <c r="P35" s="95"/>
      <c r="Q35" s="95" t="s">
        <v>84</v>
      </c>
      <c r="R35" s="86"/>
      <c r="S35" s="2"/>
      <c r="T35" s="75"/>
      <c r="U35" s="2"/>
      <c r="V35" s="77"/>
    </row>
    <row r="36" spans="1:22" ht="15.75" customHeight="1" thickBot="1" x14ac:dyDescent="0.3">
      <c r="E36" s="5"/>
      <c r="H36" s="5"/>
      <c r="I36" s="77"/>
      <c r="K36" s="2"/>
      <c r="L36" s="4" t="s">
        <v>74</v>
      </c>
      <c r="M36" s="4"/>
      <c r="N36" s="96">
        <v>704.04</v>
      </c>
      <c r="O36" s="2"/>
      <c r="P36" s="2"/>
      <c r="Q36" s="95" t="s">
        <v>83</v>
      </c>
      <c r="R36" s="86"/>
      <c r="S36" s="86"/>
      <c r="T36" s="75"/>
      <c r="U36" s="2"/>
      <c r="V36" s="77"/>
    </row>
    <row r="37" spans="1:22" ht="15.75" customHeight="1" thickBot="1" x14ac:dyDescent="0.35">
      <c r="B37" s="32" t="s">
        <v>65</v>
      </c>
      <c r="E37" s="17">
        <f>+E30+E32+E34</f>
        <v>706.54</v>
      </c>
      <c r="H37" s="17">
        <f>+H30+H32+H34</f>
        <v>654.34</v>
      </c>
      <c r="I37" s="77"/>
      <c r="K37" s="2"/>
      <c r="L37" s="2"/>
      <c r="M37" s="2"/>
      <c r="N37" s="74">
        <f>SUM(N35:N36)</f>
        <v>728.54</v>
      </c>
      <c r="O37" s="2"/>
      <c r="P37" s="2"/>
      <c r="Q37" s="2"/>
      <c r="R37" s="2"/>
      <c r="S37" s="86"/>
      <c r="T37" s="75"/>
      <c r="U37" s="2"/>
      <c r="V37" s="77"/>
    </row>
    <row r="38" spans="1:22" ht="6" customHeight="1" thickBot="1" x14ac:dyDescent="0.3">
      <c r="B38" s="29"/>
      <c r="C38" s="29"/>
      <c r="D38" s="30"/>
      <c r="E38" s="31"/>
      <c r="F38" s="30"/>
      <c r="G38" s="30"/>
      <c r="H38" s="31"/>
      <c r="I38" s="77"/>
      <c r="K38" s="2"/>
      <c r="L38" s="2"/>
      <c r="M38" s="2"/>
      <c r="N38" s="2"/>
      <c r="O38" s="2"/>
      <c r="P38" s="2"/>
      <c r="Q38" s="2"/>
      <c r="R38" s="2"/>
      <c r="S38" s="2"/>
      <c r="T38" s="75"/>
      <c r="U38" s="2"/>
      <c r="V38" s="77"/>
    </row>
    <row r="39" spans="1:22" ht="18" customHeight="1" thickBot="1" x14ac:dyDescent="0.3">
      <c r="E39" s="18"/>
      <c r="F39" s="19"/>
      <c r="G39" s="19"/>
      <c r="H39" s="18"/>
      <c r="I39" s="77"/>
      <c r="K39" s="2"/>
      <c r="L39" s="2"/>
      <c r="M39" s="2"/>
      <c r="N39" s="2"/>
      <c r="O39" s="2"/>
      <c r="P39" s="95" t="s">
        <v>87</v>
      </c>
      <c r="Q39" s="2"/>
      <c r="R39" s="95" t="s">
        <v>85</v>
      </c>
      <c r="S39" s="2"/>
      <c r="T39" s="2"/>
      <c r="U39" s="2"/>
      <c r="V39" s="77"/>
    </row>
    <row r="40" spans="1:22" ht="16.5" customHeight="1" thickBot="1" x14ac:dyDescent="0.35">
      <c r="B40" s="32" t="s">
        <v>64</v>
      </c>
      <c r="C40" s="33"/>
      <c r="D40" s="33"/>
      <c r="E40" s="34">
        <f>+E23+E37</f>
        <v>1225.42</v>
      </c>
      <c r="F40" s="35"/>
      <c r="G40" s="35"/>
      <c r="H40" s="34">
        <f>+H37+H23</f>
        <v>1114.7800000000002</v>
      </c>
      <c r="I40" s="77"/>
      <c r="K40" s="2"/>
      <c r="L40" s="2"/>
      <c r="M40" s="2"/>
      <c r="N40" s="2"/>
      <c r="O40" s="2"/>
      <c r="P40" s="2"/>
      <c r="Q40" s="2"/>
      <c r="R40" s="95" t="s">
        <v>86</v>
      </c>
      <c r="S40" s="2"/>
      <c r="T40" s="2"/>
      <c r="U40" s="2"/>
      <c r="V40" s="77"/>
    </row>
    <row r="41" spans="1:22" ht="13.5" customHeight="1" thickBot="1" x14ac:dyDescent="0.3">
      <c r="B41" s="22"/>
      <c r="C41" s="23"/>
      <c r="D41" s="23"/>
      <c r="E41" s="24"/>
      <c r="F41" s="23"/>
      <c r="G41" s="23"/>
      <c r="H41" s="24"/>
      <c r="I41" s="77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77"/>
    </row>
    <row r="42" spans="1:22" ht="7.5" customHeight="1" thickTop="1" x14ac:dyDescent="0.25">
      <c r="E42" s="5"/>
      <c r="I42" s="77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77"/>
    </row>
    <row r="43" spans="1:22" x14ac:dyDescent="0.25">
      <c r="B43" t="s">
        <v>28</v>
      </c>
      <c r="I43" s="77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77"/>
    </row>
    <row r="44" spans="1:22" x14ac:dyDescent="0.25">
      <c r="B44" t="s">
        <v>30</v>
      </c>
      <c r="I44" s="77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77"/>
    </row>
    <row r="45" spans="1:22" x14ac:dyDescent="0.25">
      <c r="B45" t="s">
        <v>32</v>
      </c>
      <c r="I45" s="77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77"/>
    </row>
    <row r="46" spans="1:22" ht="15.75" thickBot="1" x14ac:dyDescent="0.3">
      <c r="A46" s="88"/>
      <c r="B46" s="88" t="s">
        <v>31</v>
      </c>
      <c r="C46" s="88"/>
      <c r="D46" s="88"/>
      <c r="E46" s="88"/>
      <c r="F46" s="88"/>
      <c r="G46" s="88"/>
      <c r="H46" s="88"/>
      <c r="I46" s="88"/>
      <c r="J46" s="89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97"/>
    </row>
    <row r="47" spans="1:22" ht="15.75" thickTop="1" x14ac:dyDescent="0.25"/>
  </sheetData>
  <sheetProtection password="B39A" sheet="1" objects="1" scenarios="1" selectLockedCells="1"/>
  <mergeCells count="4">
    <mergeCell ref="K2:U3"/>
    <mergeCell ref="B4:H4"/>
    <mergeCell ref="E25:H25"/>
    <mergeCell ref="C10:D10"/>
  </mergeCells>
  <pageMargins left="0.70866141732283461" right="0" top="0.78740157480314965" bottom="0.78740157480314965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activeCell="M27" sqref="M27"/>
    </sheetView>
  </sheetViews>
  <sheetFormatPr baseColWidth="10" defaultRowHeight="15" x14ac:dyDescent="0.25"/>
  <cols>
    <col min="1" max="3" width="11.42578125" style="37"/>
    <col min="4" max="4" width="15.42578125" style="37" customWidth="1"/>
    <col min="5" max="5" width="15" style="37" customWidth="1"/>
    <col min="6" max="6" width="12.7109375" style="37" customWidth="1"/>
    <col min="7" max="7" width="18.28515625" style="37" customWidth="1"/>
    <col min="8" max="9" width="14" style="37" customWidth="1"/>
    <col min="10" max="10" width="15.85546875" style="37" customWidth="1"/>
    <col min="11" max="11" width="25.140625" style="37" customWidth="1"/>
    <col min="12" max="12" width="16.42578125" style="37" customWidth="1"/>
    <col min="13" max="13" width="17" style="37" customWidth="1"/>
    <col min="14" max="14" width="16.42578125" style="37" customWidth="1"/>
    <col min="15" max="15" width="21.85546875" style="37" customWidth="1"/>
    <col min="16" max="16384" width="11.42578125" style="37"/>
  </cols>
  <sheetData>
    <row r="1" spans="1:7" ht="30" x14ac:dyDescent="0.25">
      <c r="A1" s="36" t="s">
        <v>5</v>
      </c>
      <c r="B1" s="36" t="s">
        <v>6</v>
      </c>
      <c r="C1" s="36" t="s">
        <v>7</v>
      </c>
      <c r="D1" s="36"/>
      <c r="E1" s="36" t="s">
        <v>8</v>
      </c>
      <c r="F1" s="36"/>
      <c r="G1" s="36" t="s">
        <v>9</v>
      </c>
    </row>
    <row r="2" spans="1:7" x14ac:dyDescent="0.25">
      <c r="A2" s="38">
        <v>0</v>
      </c>
      <c r="B2" s="38">
        <v>0</v>
      </c>
      <c r="C2" s="38">
        <v>0</v>
      </c>
      <c r="D2" s="38"/>
      <c r="E2" s="38"/>
      <c r="F2" s="38"/>
      <c r="G2" s="38">
        <v>0</v>
      </c>
    </row>
    <row r="3" spans="1:7" x14ac:dyDescent="0.25">
      <c r="A3" s="38">
        <v>1</v>
      </c>
      <c r="B3" s="39">
        <v>0</v>
      </c>
      <c r="C3" s="39">
        <v>30</v>
      </c>
      <c r="D3" s="38"/>
      <c r="E3" s="40">
        <v>3</v>
      </c>
      <c r="F3" s="41"/>
      <c r="G3" s="40">
        <v>128</v>
      </c>
    </row>
    <row r="4" spans="1:7" x14ac:dyDescent="0.25">
      <c r="A4" s="38">
        <f t="shared" ref="A4:A9" si="0">+A3+1</f>
        <v>2</v>
      </c>
      <c r="B4" s="39">
        <f t="shared" ref="B4:B10" si="1">C3+1</f>
        <v>31</v>
      </c>
      <c r="C4" s="39">
        <v>150</v>
      </c>
      <c r="D4" s="38"/>
      <c r="E4" s="40">
        <v>4.05</v>
      </c>
      <c r="F4" s="41"/>
      <c r="G4" s="40">
        <f>18.17*12</f>
        <v>218.04000000000002</v>
      </c>
    </row>
    <row r="5" spans="1:7" x14ac:dyDescent="0.25">
      <c r="A5" s="38">
        <f t="shared" si="0"/>
        <v>3</v>
      </c>
      <c r="B5" s="39">
        <f t="shared" si="1"/>
        <v>151</v>
      </c>
      <c r="C5" s="39">
        <v>250</v>
      </c>
      <c r="D5" s="38"/>
      <c r="E5" s="40">
        <v>4.9000000000000004</v>
      </c>
      <c r="F5" s="41"/>
      <c r="G5" s="40">
        <f>58.67*12</f>
        <v>704.04</v>
      </c>
    </row>
    <row r="6" spans="1:7" x14ac:dyDescent="0.25">
      <c r="A6" s="38">
        <f t="shared" si="0"/>
        <v>4</v>
      </c>
      <c r="B6" s="39">
        <f t="shared" si="1"/>
        <v>251</v>
      </c>
      <c r="C6" s="39">
        <v>500</v>
      </c>
      <c r="D6" s="38"/>
      <c r="E6" s="40">
        <v>5.39</v>
      </c>
      <c r="F6" s="41"/>
      <c r="G6" s="40">
        <f>99.5*12</f>
        <v>1194</v>
      </c>
    </row>
    <row r="7" spans="1:7" x14ac:dyDescent="0.25">
      <c r="A7" s="38">
        <f t="shared" si="0"/>
        <v>5</v>
      </c>
      <c r="B7" s="39">
        <f t="shared" si="1"/>
        <v>501</v>
      </c>
      <c r="C7" s="39">
        <v>1000</v>
      </c>
      <c r="D7" s="38"/>
      <c r="E7" s="40">
        <v>5.39</v>
      </c>
      <c r="F7" s="41"/>
      <c r="G7" s="40">
        <f>211.79*12</f>
        <v>2541.48</v>
      </c>
    </row>
    <row r="8" spans="1:7" x14ac:dyDescent="0.25">
      <c r="A8" s="38">
        <f t="shared" si="0"/>
        <v>6</v>
      </c>
      <c r="B8" s="39">
        <f t="shared" si="1"/>
        <v>1001</v>
      </c>
      <c r="C8" s="39">
        <v>5000</v>
      </c>
      <c r="D8" s="38"/>
      <c r="E8" s="40">
        <v>5.39</v>
      </c>
      <c r="F8" s="41"/>
      <c r="G8" s="40">
        <f>436.38*12</f>
        <v>5236.5599999999995</v>
      </c>
    </row>
    <row r="9" spans="1:7" x14ac:dyDescent="0.25">
      <c r="A9" s="38">
        <f t="shared" si="0"/>
        <v>7</v>
      </c>
      <c r="B9" s="39">
        <f t="shared" si="1"/>
        <v>5001</v>
      </c>
      <c r="C9" s="39">
        <v>7500</v>
      </c>
      <c r="D9" s="38"/>
      <c r="E9" s="40">
        <v>5.39</v>
      </c>
      <c r="F9" s="41"/>
      <c r="G9" s="40">
        <f>2233.04*12</f>
        <v>26796.48</v>
      </c>
    </row>
    <row r="10" spans="1:7" x14ac:dyDescent="0.25">
      <c r="A10" s="38">
        <v>8</v>
      </c>
      <c r="B10" s="39">
        <f t="shared" si="1"/>
        <v>7501</v>
      </c>
      <c r="C10" s="39">
        <v>20000</v>
      </c>
      <c r="D10" s="38"/>
      <c r="E10" s="40">
        <v>5.39</v>
      </c>
      <c r="F10" s="41"/>
      <c r="G10" s="40">
        <f>3355.96*12</f>
        <v>40271.520000000004</v>
      </c>
    </row>
    <row r="11" spans="1:7" x14ac:dyDescent="0.25">
      <c r="A11" s="38">
        <v>9</v>
      </c>
      <c r="B11" s="39">
        <v>20001</v>
      </c>
      <c r="C11" s="39"/>
      <c r="D11" s="39"/>
      <c r="E11" s="40">
        <v>5.39</v>
      </c>
      <c r="F11" s="41"/>
      <c r="G11" s="40">
        <f>8970.54*12</f>
        <v>107646.48000000001</v>
      </c>
    </row>
    <row r="12" spans="1:7" x14ac:dyDescent="0.25">
      <c r="A12" s="38"/>
      <c r="B12" s="38"/>
      <c r="C12" s="38"/>
      <c r="D12" s="38"/>
      <c r="E12" s="42"/>
      <c r="F12" s="42"/>
      <c r="G12" s="38"/>
    </row>
    <row r="13" spans="1:7" x14ac:dyDescent="0.25">
      <c r="A13" s="38"/>
      <c r="B13" s="38"/>
      <c r="C13" s="38"/>
      <c r="D13" s="38"/>
      <c r="E13" s="43"/>
      <c r="F13" s="44"/>
      <c r="G13" s="44"/>
    </row>
    <row r="14" spans="1:7" x14ac:dyDescent="0.25">
      <c r="A14" s="38"/>
      <c r="B14" s="38"/>
      <c r="C14" s="38"/>
      <c r="D14" s="38"/>
      <c r="E14" s="43"/>
      <c r="F14" s="44"/>
      <c r="G14" s="44"/>
    </row>
    <row r="15" spans="1:7" x14ac:dyDescent="0.25">
      <c r="A15" s="38"/>
      <c r="B15" s="38" t="s">
        <v>4</v>
      </c>
      <c r="C15" s="45">
        <f>IF(ISBLANK(Gebührenrechner!E10),"",Gebührenrechner!E10)</f>
        <v>150</v>
      </c>
      <c r="D15" s="38"/>
      <c r="E15" s="43"/>
      <c r="F15" s="44"/>
      <c r="G15" s="44"/>
    </row>
    <row r="16" spans="1:7" x14ac:dyDescent="0.25">
      <c r="A16" s="38"/>
      <c r="B16" s="38"/>
      <c r="C16" s="38"/>
      <c r="D16" s="38"/>
      <c r="E16" s="43"/>
      <c r="F16" s="44"/>
      <c r="G16" s="44"/>
    </row>
    <row r="17" spans="1:16" x14ac:dyDescent="0.25">
      <c r="A17" s="38"/>
      <c r="B17" s="38"/>
      <c r="C17" s="38"/>
      <c r="D17" s="38"/>
      <c r="E17" s="43"/>
      <c r="F17" s="44"/>
      <c r="G17" s="44"/>
    </row>
    <row r="18" spans="1:16" x14ac:dyDescent="0.25">
      <c r="A18" s="38"/>
      <c r="B18" s="46" t="s">
        <v>10</v>
      </c>
      <c r="C18" s="38"/>
      <c r="D18" s="38"/>
      <c r="E18" s="43"/>
      <c r="F18" s="44"/>
      <c r="G18" s="44"/>
    </row>
    <row r="19" spans="1:16" x14ac:dyDescent="0.25">
      <c r="A19" s="38"/>
      <c r="B19" s="38"/>
      <c r="C19" s="38"/>
      <c r="D19" s="43"/>
      <c r="E19" s="44"/>
      <c r="F19" s="44"/>
      <c r="K19" s="37">
        <v>2.5</v>
      </c>
      <c r="L19" s="37">
        <v>3.04</v>
      </c>
    </row>
    <row r="20" spans="1:16" x14ac:dyDescent="0.25">
      <c r="B20" s="47" t="s">
        <v>5</v>
      </c>
      <c r="C20" s="48" t="s">
        <v>11</v>
      </c>
      <c r="D20" s="37" t="s">
        <v>24</v>
      </c>
      <c r="E20" s="37" t="s">
        <v>25</v>
      </c>
      <c r="F20" s="37" t="s">
        <v>26</v>
      </c>
      <c r="G20" s="49" t="s">
        <v>25</v>
      </c>
      <c r="H20" s="49" t="s">
        <v>24</v>
      </c>
      <c r="I20" s="49" t="s">
        <v>24</v>
      </c>
      <c r="J20" s="49" t="s">
        <v>27</v>
      </c>
      <c r="K20" s="49" t="s">
        <v>53</v>
      </c>
      <c r="L20" s="49" t="s">
        <v>50</v>
      </c>
      <c r="M20" s="50" t="s">
        <v>49</v>
      </c>
      <c r="N20" s="49" t="s">
        <v>51</v>
      </c>
      <c r="O20" s="49" t="s">
        <v>58</v>
      </c>
      <c r="P20" s="37" t="s">
        <v>57</v>
      </c>
    </row>
    <row r="21" spans="1:16" x14ac:dyDescent="0.25">
      <c r="B21" s="51" t="s">
        <v>12</v>
      </c>
      <c r="C21" s="52">
        <f>IF(AND(Abw!$C$15&gt;0,Abw!$C$15&lt;31),Abw!$C$15,0)</f>
        <v>0</v>
      </c>
      <c r="D21" s="53">
        <f t="shared" ref="D21:D28" si="2">+G3</f>
        <v>128</v>
      </c>
      <c r="E21" s="53">
        <f t="shared" ref="E21:E29" si="3">(C21-C2)*E3</f>
        <v>0</v>
      </c>
      <c r="F21" s="53">
        <f t="shared" ref="F21:F27" si="4">+D21+E21</f>
        <v>128</v>
      </c>
      <c r="G21" s="54">
        <f>IF(C21&gt;0,E21,0)</f>
        <v>0</v>
      </c>
      <c r="H21" s="54">
        <f>IF(C21&gt;=0,D21,0)</f>
        <v>128</v>
      </c>
      <c r="I21" s="55">
        <f>IF(ISBLANK(Gebührenrechner!$E$10),0,H21)</f>
        <v>128</v>
      </c>
      <c r="J21" s="54">
        <f>+G21+H21</f>
        <v>128</v>
      </c>
      <c r="L21" s="54">
        <f>IF(C21&gt;0,$L$19*C21,0)</f>
        <v>0</v>
      </c>
      <c r="M21" s="54">
        <f>1.97*12</f>
        <v>23.64</v>
      </c>
      <c r="N21" s="39">
        <f>IF(L21&gt;=0,M21,0)</f>
        <v>23.64</v>
      </c>
      <c r="O21" s="55">
        <f>IF(ISBLANK(Gebührenrechner!$E$10),0,N21)</f>
        <v>23.64</v>
      </c>
    </row>
    <row r="22" spans="1:16" x14ac:dyDescent="0.25">
      <c r="B22" s="51" t="s">
        <v>13</v>
      </c>
      <c r="C22" s="52">
        <f>IF(AND(Abw!$C$15&gt;30,Abw!$C$15&lt;151),Abw!$C$15,0)</f>
        <v>150</v>
      </c>
      <c r="D22" s="53">
        <f t="shared" si="2"/>
        <v>218.04000000000002</v>
      </c>
      <c r="E22" s="53">
        <f t="shared" si="3"/>
        <v>486</v>
      </c>
      <c r="F22" s="53">
        <f t="shared" si="4"/>
        <v>704.04</v>
      </c>
      <c r="G22" s="54">
        <f t="shared" ref="G22:G29" si="5">IF(C22&gt;0,E22,0)</f>
        <v>486</v>
      </c>
      <c r="H22" s="54">
        <f t="shared" ref="H22:H29" si="6">IF(C22&gt;0,D22,0)</f>
        <v>218.04000000000002</v>
      </c>
      <c r="I22" s="55">
        <f>IF(ISBLANK(Gebührenrechner!$E$10),0,H22)</f>
        <v>218.04000000000002</v>
      </c>
      <c r="J22" s="54">
        <f t="shared" ref="J22:J29" si="7">+G22+H22</f>
        <v>704.04</v>
      </c>
      <c r="L22" s="54">
        <f t="shared" ref="L22:L29" si="8">IF(C22&gt;0,$L$19*C22,0)</f>
        <v>456</v>
      </c>
      <c r="M22" s="54">
        <f>16.32*12</f>
        <v>195.84</v>
      </c>
      <c r="N22" s="39">
        <f t="shared" ref="N22:N29" si="9">IF(L22&gt;0,M22,0)</f>
        <v>195.84</v>
      </c>
      <c r="O22" s="55">
        <f>IF(ISBLANK(Gebührenrechner!$E$10),0,N22)</f>
        <v>195.84</v>
      </c>
    </row>
    <row r="23" spans="1:16" x14ac:dyDescent="0.25">
      <c r="B23" s="51" t="s">
        <v>14</v>
      </c>
      <c r="C23" s="52">
        <f>IF(AND(Abw!$C$15&gt;150,Abw!$C$15&lt;251),Abw!$C$15,0)</f>
        <v>0</v>
      </c>
      <c r="D23" s="53">
        <f t="shared" si="2"/>
        <v>704.04</v>
      </c>
      <c r="E23" s="53">
        <f t="shared" si="3"/>
        <v>-735</v>
      </c>
      <c r="F23" s="53">
        <f t="shared" si="4"/>
        <v>-30.960000000000036</v>
      </c>
      <c r="G23" s="54">
        <f t="shared" si="5"/>
        <v>0</v>
      </c>
      <c r="H23" s="54">
        <f t="shared" si="6"/>
        <v>0</v>
      </c>
      <c r="I23" s="55">
        <f>IF(ISBLANK(Gebührenrechner!$E$10),0,H23)</f>
        <v>0</v>
      </c>
      <c r="J23" s="54">
        <f t="shared" si="7"/>
        <v>0</v>
      </c>
      <c r="L23" s="54">
        <f t="shared" si="8"/>
        <v>0</v>
      </c>
      <c r="M23" s="54">
        <f>36.7*12</f>
        <v>440.40000000000003</v>
      </c>
      <c r="N23" s="39">
        <f t="shared" si="9"/>
        <v>0</v>
      </c>
      <c r="O23" s="55">
        <f>IF(ISBLANK(Gebührenrechner!$E$10),0,N23)</f>
        <v>0</v>
      </c>
    </row>
    <row r="24" spans="1:16" x14ac:dyDescent="0.25">
      <c r="B24" s="51" t="s">
        <v>15</v>
      </c>
      <c r="C24" s="52">
        <f>IF(AND(Abw!$C$15&gt;250,Abw!$C$15&lt;501),Abw!$C$15,0)</f>
        <v>0</v>
      </c>
      <c r="D24" s="53">
        <f t="shared" si="2"/>
        <v>1194</v>
      </c>
      <c r="E24" s="53">
        <f t="shared" si="3"/>
        <v>-1347.5</v>
      </c>
      <c r="F24" s="53">
        <f>+D24+E24</f>
        <v>-153.5</v>
      </c>
      <c r="G24" s="54">
        <f t="shared" si="5"/>
        <v>0</v>
      </c>
      <c r="H24" s="54">
        <f t="shared" si="6"/>
        <v>0</v>
      </c>
      <c r="I24" s="55">
        <f>IF(ISBLANK(Gebührenrechner!$E$10),0,H24)</f>
        <v>0</v>
      </c>
      <c r="J24" s="54">
        <f t="shared" si="7"/>
        <v>0</v>
      </c>
      <c r="L24" s="54">
        <f t="shared" si="8"/>
        <v>0</v>
      </c>
      <c r="M24" s="54">
        <f>66.62*12</f>
        <v>799.44</v>
      </c>
      <c r="N24" s="39">
        <f t="shared" si="9"/>
        <v>0</v>
      </c>
      <c r="O24" s="55">
        <f>IF(ISBLANK(Gebührenrechner!$E$10),0,N24)</f>
        <v>0</v>
      </c>
    </row>
    <row r="25" spans="1:16" x14ac:dyDescent="0.25">
      <c r="B25" s="51" t="s">
        <v>16</v>
      </c>
      <c r="C25" s="52">
        <f>IF(AND(Abw!$C$15&gt;500,Abw!$C$15&lt;1001),Abw!$C$15,0)</f>
        <v>0</v>
      </c>
      <c r="D25" s="53">
        <f t="shared" si="2"/>
        <v>2541.48</v>
      </c>
      <c r="E25" s="53">
        <f t="shared" si="3"/>
        <v>-2695</v>
      </c>
      <c r="F25" s="53">
        <f t="shared" si="4"/>
        <v>-153.51999999999998</v>
      </c>
      <c r="G25" s="54">
        <f t="shared" si="5"/>
        <v>0</v>
      </c>
      <c r="H25" s="54">
        <f t="shared" si="6"/>
        <v>0</v>
      </c>
      <c r="I25" s="55">
        <f>IF(ISBLANK(Gebührenrechner!$E$10),0,H25)</f>
        <v>0</v>
      </c>
      <c r="J25" s="54">
        <f t="shared" si="7"/>
        <v>0</v>
      </c>
      <c r="L25" s="54">
        <f t="shared" si="8"/>
        <v>0</v>
      </c>
      <c r="M25" s="54">
        <f>135.68*12</f>
        <v>1628.16</v>
      </c>
      <c r="N25" s="39">
        <f t="shared" si="9"/>
        <v>0</v>
      </c>
      <c r="O25" s="55">
        <f>IF(ISBLANK(Gebührenrechner!$E$10),0,N25)</f>
        <v>0</v>
      </c>
    </row>
    <row r="26" spans="1:16" x14ac:dyDescent="0.25">
      <c r="B26" s="51" t="s">
        <v>17</v>
      </c>
      <c r="C26" s="52">
        <f>IF(AND(Abw!$C$15&gt;1000,Abw!$C$15&lt;5001),Abw!$C$15,0)</f>
        <v>0</v>
      </c>
      <c r="D26" s="53">
        <f t="shared" si="2"/>
        <v>5236.5599999999995</v>
      </c>
      <c r="E26" s="53">
        <f t="shared" si="3"/>
        <v>-5390</v>
      </c>
      <c r="F26" s="53">
        <f t="shared" si="4"/>
        <v>-153.44000000000051</v>
      </c>
      <c r="G26" s="54">
        <f t="shared" si="5"/>
        <v>0</v>
      </c>
      <c r="H26" s="54">
        <f t="shared" si="6"/>
        <v>0</v>
      </c>
      <c r="I26" s="55">
        <f>IF(ISBLANK(Gebührenrechner!$E$10),0,H26)</f>
        <v>0</v>
      </c>
      <c r="J26" s="54">
        <f t="shared" si="7"/>
        <v>0</v>
      </c>
      <c r="L26" s="54">
        <f t="shared" si="8"/>
        <v>0</v>
      </c>
      <c r="M26" s="54">
        <f>369.57*12</f>
        <v>4434.84</v>
      </c>
      <c r="N26" s="39">
        <f t="shared" si="9"/>
        <v>0</v>
      </c>
      <c r="O26" s="55">
        <f>IF(ISBLANK(Gebührenrechner!$E$10),0,N26)</f>
        <v>0</v>
      </c>
    </row>
    <row r="27" spans="1:16" x14ac:dyDescent="0.25">
      <c r="B27" s="51" t="s">
        <v>18</v>
      </c>
      <c r="C27" s="52">
        <f>IF(AND(Abw!$C$15&gt;5000,Abw!$C$15&lt;7501),Abw!$C$15,0)</f>
        <v>0</v>
      </c>
      <c r="D27" s="53">
        <f t="shared" si="2"/>
        <v>26796.48</v>
      </c>
      <c r="E27" s="53">
        <f t="shared" si="3"/>
        <v>-26950</v>
      </c>
      <c r="F27" s="53">
        <f t="shared" si="4"/>
        <v>-153.52000000000044</v>
      </c>
      <c r="G27" s="54">
        <f t="shared" si="5"/>
        <v>0</v>
      </c>
      <c r="H27" s="54">
        <f t="shared" si="6"/>
        <v>0</v>
      </c>
      <c r="I27" s="55">
        <f>IF(ISBLANK(Gebührenrechner!$E$10),0,H27)</f>
        <v>0</v>
      </c>
      <c r="J27" s="54">
        <f t="shared" si="7"/>
        <v>0</v>
      </c>
      <c r="L27" s="54">
        <f t="shared" si="8"/>
        <v>0</v>
      </c>
      <c r="M27" s="54">
        <f>1029.69*12</f>
        <v>12356.28</v>
      </c>
      <c r="N27" s="39">
        <f t="shared" si="9"/>
        <v>0</v>
      </c>
      <c r="O27" s="55">
        <f>IF(ISBLANK(Gebührenrechner!$E$10),0,N27)</f>
        <v>0</v>
      </c>
    </row>
    <row r="28" spans="1:16" x14ac:dyDescent="0.25">
      <c r="B28" s="51" t="s">
        <v>19</v>
      </c>
      <c r="C28" s="52">
        <f>IF(AND(Abw!$C$15&gt;7500,Abw!$C$15&lt;20001),Abw!$C$15,0)</f>
        <v>0</v>
      </c>
      <c r="D28" s="53">
        <f t="shared" si="2"/>
        <v>40271.520000000004</v>
      </c>
      <c r="E28" s="53">
        <f t="shared" si="3"/>
        <v>-40425</v>
      </c>
      <c r="F28" s="53">
        <f>+D28+E28</f>
        <v>-153.47999999999593</v>
      </c>
      <c r="G28" s="54">
        <f t="shared" si="5"/>
        <v>0</v>
      </c>
      <c r="H28" s="54">
        <f t="shared" si="6"/>
        <v>0</v>
      </c>
      <c r="I28" s="55">
        <f>IF(ISBLANK(Gebührenrechner!$E$10),0,H28)</f>
        <v>0</v>
      </c>
      <c r="J28" s="54">
        <f t="shared" si="7"/>
        <v>0</v>
      </c>
      <c r="L28" s="54">
        <f t="shared" si="8"/>
        <v>0</v>
      </c>
      <c r="M28" s="54">
        <f>1334.61*12</f>
        <v>16015.32</v>
      </c>
      <c r="N28" s="39">
        <f t="shared" si="9"/>
        <v>0</v>
      </c>
      <c r="O28" s="55">
        <f>IF(ISBLANK(Gebührenrechner!$E$10),0,N28)</f>
        <v>0</v>
      </c>
    </row>
    <row r="29" spans="1:16" x14ac:dyDescent="0.25">
      <c r="B29" s="51" t="s">
        <v>70</v>
      </c>
      <c r="C29" s="52">
        <f>IF(AND(Abw!$C$15&gt;20000,Abw!$C$15&lt;9.99999999999999E+43),Abw!$C$15,0)</f>
        <v>0</v>
      </c>
      <c r="D29" s="53">
        <f>+G11</f>
        <v>107646.48000000001</v>
      </c>
      <c r="E29" s="53">
        <f t="shared" si="3"/>
        <v>-107800</v>
      </c>
      <c r="F29" s="53">
        <f>+D29+E29</f>
        <v>-153.51999999998952</v>
      </c>
      <c r="G29" s="54">
        <f t="shared" si="5"/>
        <v>0</v>
      </c>
      <c r="H29" s="54">
        <f t="shared" si="6"/>
        <v>0</v>
      </c>
      <c r="I29" s="55">
        <f>IF(ISBLANK(Gebührenrechner!$E$10),0,H29)</f>
        <v>0</v>
      </c>
      <c r="J29" s="54">
        <f t="shared" si="7"/>
        <v>0</v>
      </c>
      <c r="L29" s="54">
        <f t="shared" si="8"/>
        <v>0</v>
      </c>
      <c r="M29" s="54">
        <f>3736.82*12</f>
        <v>44841.840000000004</v>
      </c>
      <c r="N29" s="39">
        <f t="shared" si="9"/>
        <v>0</v>
      </c>
      <c r="O29" s="55">
        <f>IF(ISBLANK(Gebührenrechner!$E$10),0,N29)</f>
        <v>0</v>
      </c>
    </row>
    <row r="30" spans="1:16" x14ac:dyDescent="0.25">
      <c r="G30" s="56">
        <f>SUM(G21:G29)</f>
        <v>486</v>
      </c>
      <c r="H30" s="56">
        <f>SUM(H21:H29)</f>
        <v>346.04</v>
      </c>
      <c r="I30" s="56">
        <f>SUM(I21:I29)</f>
        <v>346.04</v>
      </c>
      <c r="J30" s="56">
        <f>SUM(J21:J29)</f>
        <v>832.04</v>
      </c>
      <c r="K30" s="57">
        <f>IF(I32&gt;0,K19,0)</f>
        <v>2.5</v>
      </c>
      <c r="L30" s="56">
        <f>SUM(L21:L28)</f>
        <v>456</v>
      </c>
      <c r="M30" s="56"/>
      <c r="N30" s="56">
        <f>SUM(N21:N29)</f>
        <v>219.48000000000002</v>
      </c>
      <c r="O30" s="56">
        <f>SUM(O21:O29)</f>
        <v>219.48000000000002</v>
      </c>
      <c r="P30" s="37">
        <f>IF(O32&gt;0,K19,0)</f>
        <v>2.5</v>
      </c>
    </row>
    <row r="31" spans="1:16" x14ac:dyDescent="0.25">
      <c r="L31" s="57"/>
      <c r="M31" s="57"/>
      <c r="N31" s="57"/>
    </row>
    <row r="32" spans="1:16" x14ac:dyDescent="0.25">
      <c r="I32" s="56">
        <f>IF(I30=I21,I30,(I30-$I$21))</f>
        <v>218.04000000000002</v>
      </c>
      <c r="N32" s="56"/>
      <c r="O32" s="56">
        <f>IF(O30=O21,O30,(O30-$O$21))</f>
        <v>195.84000000000003</v>
      </c>
    </row>
  </sheetData>
  <sheetProtection password="B39A" sheet="1" objects="1" scenarios="1" selectLockedCell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4"/>
  <sheetViews>
    <sheetView workbookViewId="0">
      <selection activeCell="H5" sqref="H5:H13"/>
    </sheetView>
  </sheetViews>
  <sheetFormatPr baseColWidth="10" defaultRowHeight="15" x14ac:dyDescent="0.25"/>
  <cols>
    <col min="1" max="1" width="3.42578125" style="37" customWidth="1"/>
    <col min="2" max="2" width="7.28515625" style="37" customWidth="1"/>
    <col min="3" max="3" width="11.42578125" style="37"/>
    <col min="4" max="4" width="11.7109375" style="37" bestFit="1" customWidth="1"/>
    <col min="5" max="5" width="12" style="37" customWidth="1"/>
    <col min="6" max="6" width="13.85546875" style="37" customWidth="1"/>
    <col min="7" max="7" width="16.85546875" style="37" customWidth="1"/>
    <col min="8" max="8" width="12.5703125" style="37" customWidth="1"/>
    <col min="9" max="9" width="12.5703125" style="37" bestFit="1" customWidth="1"/>
    <col min="10" max="10" width="12.5703125" style="37" customWidth="1"/>
    <col min="11" max="12" width="12.5703125" style="37" hidden="1" customWidth="1"/>
    <col min="13" max="13" width="12.5703125" style="37" bestFit="1" customWidth="1"/>
    <col min="14" max="15" width="14.85546875" style="37" customWidth="1"/>
    <col min="16" max="16" width="18.5703125" style="37" customWidth="1"/>
    <col min="17" max="17" width="19" style="37" customWidth="1"/>
    <col min="18" max="18" width="23.140625" style="37" customWidth="1"/>
    <col min="19" max="20" width="15.85546875" style="37" customWidth="1"/>
    <col min="21" max="21" width="16.7109375" style="37" customWidth="1"/>
    <col min="22" max="22" width="16.42578125" style="37" customWidth="1"/>
    <col min="23" max="23" width="16" style="37" customWidth="1"/>
    <col min="24" max="16384" width="11.42578125" style="37"/>
  </cols>
  <sheetData>
    <row r="2" spans="1:16" ht="15.75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42.75" customHeight="1" x14ac:dyDescent="0.25">
      <c r="A3" s="38"/>
      <c r="B3" s="36" t="s">
        <v>5</v>
      </c>
      <c r="C3" s="36" t="s">
        <v>6</v>
      </c>
      <c r="D3" s="36" t="s">
        <v>7</v>
      </c>
      <c r="E3" s="36"/>
      <c r="F3" s="36" t="s">
        <v>8</v>
      </c>
      <c r="G3" s="36"/>
      <c r="H3" s="36" t="s">
        <v>9</v>
      </c>
      <c r="I3" s="36">
        <v>12</v>
      </c>
      <c r="J3" s="36"/>
      <c r="K3" s="36"/>
      <c r="L3" s="36"/>
      <c r="M3" s="36"/>
      <c r="N3" s="36"/>
      <c r="O3" s="36"/>
      <c r="P3" s="58"/>
    </row>
    <row r="4" spans="1:16" ht="15.75" customHeight="1" x14ac:dyDescent="0.25">
      <c r="A4" s="38"/>
      <c r="B4" s="38">
        <v>0</v>
      </c>
      <c r="C4" s="38">
        <v>0</v>
      </c>
      <c r="D4" s="38">
        <v>0</v>
      </c>
      <c r="E4" s="38"/>
      <c r="F4" s="38"/>
      <c r="G4" s="38"/>
      <c r="H4" s="38">
        <v>0</v>
      </c>
      <c r="I4" s="45"/>
      <c r="J4" s="45"/>
      <c r="K4" s="45"/>
      <c r="L4" s="45"/>
      <c r="M4" s="45"/>
      <c r="N4" s="38"/>
      <c r="O4" s="38"/>
      <c r="P4" s="58"/>
    </row>
    <row r="5" spans="1:16" ht="15.75" x14ac:dyDescent="0.25">
      <c r="A5" s="38"/>
      <c r="B5" s="38">
        <v>1</v>
      </c>
      <c r="C5" s="39">
        <v>0</v>
      </c>
      <c r="D5" s="39">
        <v>30</v>
      </c>
      <c r="E5" s="38"/>
      <c r="F5" s="40">
        <v>2.36</v>
      </c>
      <c r="G5" s="41"/>
      <c r="H5" s="40">
        <f>1.34*I3</f>
        <v>16.080000000000002</v>
      </c>
      <c r="I5" s="40"/>
      <c r="J5" s="40"/>
      <c r="K5" s="40"/>
      <c r="L5" s="40"/>
      <c r="M5" s="40"/>
      <c r="N5" s="40">
        <f>120*F6</f>
        <v>374.40000000000003</v>
      </c>
      <c r="O5" s="40">
        <f>+N5*1.07</f>
        <v>400.60800000000006</v>
      </c>
      <c r="P5" s="58"/>
    </row>
    <row r="6" spans="1:16" ht="15.75" x14ac:dyDescent="0.25">
      <c r="A6" s="38"/>
      <c r="B6" s="38">
        <f t="shared" ref="B6:B11" si="0">+B5+1</f>
        <v>2</v>
      </c>
      <c r="C6" s="39">
        <f t="shared" ref="C6:C12" si="1">D5+1</f>
        <v>31</v>
      </c>
      <c r="D6" s="39">
        <v>150</v>
      </c>
      <c r="E6" s="38"/>
      <c r="F6" s="40">
        <v>3.12</v>
      </c>
      <c r="G6" s="41"/>
      <c r="H6" s="40">
        <f>7.25*I3</f>
        <v>87</v>
      </c>
      <c r="I6" s="40"/>
      <c r="J6" s="40">
        <f>+F7*5</f>
        <v>17.350000000000001</v>
      </c>
      <c r="K6" s="40"/>
      <c r="L6" s="40"/>
      <c r="M6" s="40"/>
      <c r="N6" s="40">
        <f>+H6</f>
        <v>87</v>
      </c>
      <c r="O6" s="40">
        <f>+N6*1.07</f>
        <v>93.09</v>
      </c>
      <c r="P6" s="58"/>
    </row>
    <row r="7" spans="1:16" ht="15.75" customHeight="1" x14ac:dyDescent="0.25">
      <c r="A7" s="38"/>
      <c r="B7" s="38">
        <f t="shared" si="0"/>
        <v>3</v>
      </c>
      <c r="C7" s="39">
        <f t="shared" si="1"/>
        <v>151</v>
      </c>
      <c r="D7" s="39">
        <v>250</v>
      </c>
      <c r="E7" s="38"/>
      <c r="F7" s="40">
        <v>3.47</v>
      </c>
      <c r="G7" s="72">
        <f>+F7*1.07</f>
        <v>3.7129000000000003</v>
      </c>
      <c r="H7" s="40">
        <f>38.46*I3</f>
        <v>461.52</v>
      </c>
      <c r="I7" s="40">
        <f>+H7*1.07</f>
        <v>493.82640000000004</v>
      </c>
      <c r="J7" s="40">
        <f>+H7</f>
        <v>461.52</v>
      </c>
      <c r="K7" s="40"/>
      <c r="L7" s="40"/>
      <c r="M7" s="40"/>
      <c r="N7" s="40">
        <f>SUM(N5:N6)</f>
        <v>461.40000000000003</v>
      </c>
      <c r="O7" s="40">
        <f>SUM(O5:O6)</f>
        <v>493.69800000000009</v>
      </c>
      <c r="P7" s="58"/>
    </row>
    <row r="8" spans="1:16" ht="15.75" x14ac:dyDescent="0.25">
      <c r="A8" s="38"/>
      <c r="B8" s="38">
        <f t="shared" si="0"/>
        <v>4</v>
      </c>
      <c r="C8" s="39">
        <f t="shared" si="1"/>
        <v>251</v>
      </c>
      <c r="D8" s="39">
        <v>500</v>
      </c>
      <c r="E8" s="38"/>
      <c r="F8" s="40">
        <v>3.53</v>
      </c>
      <c r="G8" s="41"/>
      <c r="H8" s="40">
        <f>67.34*I3</f>
        <v>808.08</v>
      </c>
      <c r="I8" s="40"/>
      <c r="J8" s="40">
        <f>SUM(J6:J7)</f>
        <v>478.87</v>
      </c>
      <c r="K8" s="40"/>
      <c r="L8" s="40"/>
      <c r="M8" s="40"/>
      <c r="N8" s="40"/>
      <c r="O8" s="40"/>
      <c r="P8" s="58"/>
    </row>
    <row r="9" spans="1:16" ht="15.75" x14ac:dyDescent="0.25">
      <c r="A9" s="38"/>
      <c r="B9" s="38">
        <f t="shared" si="0"/>
        <v>5</v>
      </c>
      <c r="C9" s="39">
        <f t="shared" si="1"/>
        <v>501</v>
      </c>
      <c r="D9" s="39">
        <v>1000</v>
      </c>
      <c r="E9" s="38"/>
      <c r="F9" s="40">
        <v>3.53</v>
      </c>
      <c r="G9" s="41"/>
      <c r="H9" s="40">
        <f>140.96*I3</f>
        <v>1691.52</v>
      </c>
      <c r="I9" s="40"/>
      <c r="J9" s="40"/>
      <c r="K9" s="40"/>
      <c r="L9" s="40"/>
      <c r="M9" s="40"/>
      <c r="N9" s="40">
        <f>5*G7</f>
        <v>18.564500000000002</v>
      </c>
      <c r="O9" s="40"/>
      <c r="P9" s="58"/>
    </row>
    <row r="10" spans="1:16" ht="15.75" x14ac:dyDescent="0.25">
      <c r="A10" s="38"/>
      <c r="B10" s="38">
        <f t="shared" si="0"/>
        <v>6</v>
      </c>
      <c r="C10" s="39">
        <f t="shared" si="1"/>
        <v>1001</v>
      </c>
      <c r="D10" s="39">
        <v>5000</v>
      </c>
      <c r="E10" s="38"/>
      <c r="F10" s="40">
        <v>3.53</v>
      </c>
      <c r="G10" s="41"/>
      <c r="H10" s="40">
        <f>288.21*I3</f>
        <v>3458.5199999999995</v>
      </c>
      <c r="I10" s="40"/>
      <c r="J10" s="40"/>
      <c r="K10" s="40"/>
      <c r="L10" s="40"/>
      <c r="M10" s="40"/>
      <c r="N10" s="40">
        <f>+I7</f>
        <v>493.82640000000004</v>
      </c>
      <c r="O10" s="40"/>
      <c r="P10" s="58"/>
    </row>
    <row r="11" spans="1:16" ht="15.75" x14ac:dyDescent="0.25">
      <c r="A11" s="38"/>
      <c r="B11" s="38">
        <f t="shared" si="0"/>
        <v>7</v>
      </c>
      <c r="C11" s="39">
        <f t="shared" si="1"/>
        <v>5001</v>
      </c>
      <c r="D11" s="39">
        <v>7500</v>
      </c>
      <c r="E11" s="38"/>
      <c r="F11" s="40">
        <v>3.53</v>
      </c>
      <c r="G11" s="41"/>
      <c r="H11" s="40">
        <f>1466.23*I3</f>
        <v>17594.760000000002</v>
      </c>
      <c r="I11" s="40"/>
      <c r="J11" s="40"/>
      <c r="K11" s="40"/>
      <c r="L11" s="40"/>
      <c r="M11" s="40"/>
      <c r="N11" s="40">
        <f>SUM(N9:N10)</f>
        <v>512.39089999999999</v>
      </c>
      <c r="O11" s="40"/>
      <c r="P11" s="58"/>
    </row>
    <row r="12" spans="1:16" ht="15.75" x14ac:dyDescent="0.25">
      <c r="A12" s="38"/>
      <c r="B12" s="38">
        <v>8</v>
      </c>
      <c r="C12" s="39">
        <f t="shared" si="1"/>
        <v>7501</v>
      </c>
      <c r="D12" s="39">
        <v>20000</v>
      </c>
      <c r="E12" s="38"/>
      <c r="F12" s="40">
        <v>3.53</v>
      </c>
      <c r="G12" s="41"/>
      <c r="H12" s="40">
        <f>2202.49*I3</f>
        <v>26429.879999999997</v>
      </c>
      <c r="I12" s="40"/>
      <c r="J12" s="40"/>
      <c r="K12" s="40"/>
      <c r="L12" s="40"/>
      <c r="M12" s="40"/>
      <c r="N12" s="40"/>
      <c r="O12" s="40"/>
      <c r="P12" s="58"/>
    </row>
    <row r="13" spans="1:16" ht="15.75" customHeight="1" x14ac:dyDescent="0.25">
      <c r="A13" s="38"/>
      <c r="B13" s="38">
        <v>9</v>
      </c>
      <c r="C13" s="39">
        <v>20001</v>
      </c>
      <c r="D13" s="39"/>
      <c r="E13" s="39"/>
      <c r="F13" s="40">
        <v>3.53</v>
      </c>
      <c r="G13" s="41"/>
      <c r="H13" s="40">
        <f>5883.8*I3</f>
        <v>70605.600000000006</v>
      </c>
      <c r="I13" s="38"/>
      <c r="J13" s="38"/>
      <c r="K13" s="38"/>
      <c r="L13" s="38"/>
      <c r="M13" s="38"/>
      <c r="N13" s="39"/>
      <c r="O13" s="39"/>
      <c r="P13" s="58"/>
    </row>
    <row r="14" spans="1:16" ht="15.75" x14ac:dyDescent="0.25">
      <c r="A14" s="38"/>
      <c r="B14" s="38"/>
      <c r="C14" s="38"/>
      <c r="D14" s="38"/>
      <c r="E14" s="38"/>
      <c r="F14" s="42"/>
      <c r="G14" s="42"/>
      <c r="H14" s="38"/>
      <c r="I14" s="38"/>
      <c r="J14" s="38"/>
      <c r="K14" s="38"/>
      <c r="L14" s="38"/>
      <c r="M14" s="38"/>
      <c r="N14" s="41"/>
      <c r="O14" s="41"/>
      <c r="P14" s="58"/>
    </row>
    <row r="15" spans="1:16" ht="15.75" x14ac:dyDescent="0.25">
      <c r="A15" s="38"/>
      <c r="B15" s="38"/>
      <c r="C15" s="38"/>
      <c r="D15" s="38"/>
      <c r="E15" s="38"/>
      <c r="F15" s="43"/>
      <c r="G15" s="44"/>
      <c r="H15" s="44"/>
      <c r="I15" s="39"/>
      <c r="J15" s="39"/>
      <c r="K15" s="39"/>
      <c r="L15" s="39"/>
      <c r="M15" s="39"/>
      <c r="N15" s="41"/>
      <c r="O15" s="41"/>
      <c r="P15" s="58"/>
    </row>
    <row r="16" spans="1:16" ht="15.75" x14ac:dyDescent="0.25">
      <c r="A16" s="38"/>
      <c r="B16" s="38"/>
      <c r="C16" s="38" t="s">
        <v>46</v>
      </c>
      <c r="D16" s="38">
        <f>+Gebührenrechner!E10</f>
        <v>150</v>
      </c>
      <c r="E16" s="38"/>
      <c r="F16" s="43"/>
      <c r="G16" s="44"/>
      <c r="H16" s="44"/>
      <c r="I16" s="39"/>
      <c r="J16" s="39"/>
      <c r="K16" s="39"/>
      <c r="L16" s="39"/>
      <c r="M16" s="39"/>
      <c r="P16" s="58"/>
    </row>
    <row r="17" spans="1:22" ht="15.75" x14ac:dyDescent="0.25">
      <c r="A17" s="38"/>
      <c r="B17" s="38"/>
      <c r="C17" s="38"/>
      <c r="D17" s="38"/>
      <c r="E17" s="38"/>
      <c r="F17" s="43"/>
      <c r="G17" s="44"/>
      <c r="H17" s="44"/>
      <c r="I17" s="39"/>
      <c r="J17" s="39"/>
      <c r="K17" s="39"/>
      <c r="L17" s="39"/>
      <c r="M17" s="39"/>
      <c r="N17" s="41"/>
      <c r="O17" s="41"/>
      <c r="P17" s="58"/>
    </row>
    <row r="18" spans="1:22" ht="15.75" x14ac:dyDescent="0.25">
      <c r="A18" s="38"/>
      <c r="B18" s="38"/>
      <c r="C18" s="46" t="s">
        <v>10</v>
      </c>
      <c r="D18" s="38"/>
      <c r="E18" s="38"/>
      <c r="F18" s="43"/>
      <c r="G18" s="44"/>
      <c r="H18" s="44"/>
      <c r="I18" s="39"/>
      <c r="J18" s="39"/>
      <c r="K18" s="39"/>
      <c r="L18" s="39"/>
      <c r="M18" s="39"/>
      <c r="N18" s="41"/>
      <c r="O18" s="41"/>
      <c r="P18" s="58"/>
    </row>
    <row r="19" spans="1:22" ht="15.75" x14ac:dyDescent="0.25">
      <c r="A19" s="38"/>
      <c r="B19" s="38"/>
      <c r="C19" s="38"/>
      <c r="D19" s="38"/>
      <c r="E19" s="43"/>
      <c r="F19" s="44"/>
      <c r="G19" s="44"/>
      <c r="H19" s="39"/>
      <c r="I19" s="39"/>
      <c r="J19" s="39"/>
      <c r="K19" s="39"/>
      <c r="L19" s="39"/>
      <c r="M19" s="38"/>
      <c r="N19" s="58">
        <f>3.4*12</f>
        <v>40.799999999999997</v>
      </c>
      <c r="O19" s="58"/>
      <c r="P19" s="37">
        <v>16.68</v>
      </c>
      <c r="Q19" s="37">
        <v>2.14</v>
      </c>
    </row>
    <row r="20" spans="1:22" ht="26.25" customHeight="1" x14ac:dyDescent="0.25">
      <c r="C20" s="47" t="s">
        <v>5</v>
      </c>
      <c r="D20" s="48" t="s">
        <v>11</v>
      </c>
      <c r="E20" s="37" t="s">
        <v>24</v>
      </c>
      <c r="F20" s="37" t="s">
        <v>25</v>
      </c>
      <c r="G20" s="37" t="s">
        <v>26</v>
      </c>
      <c r="H20" s="49" t="s">
        <v>25</v>
      </c>
      <c r="I20" s="49" t="s">
        <v>24</v>
      </c>
      <c r="J20" s="49" t="s">
        <v>24</v>
      </c>
      <c r="K20" s="49" t="s">
        <v>54</v>
      </c>
      <c r="L20" s="49" t="s">
        <v>55</v>
      </c>
      <c r="M20" s="49" t="s">
        <v>27</v>
      </c>
      <c r="N20" s="49" t="s">
        <v>3</v>
      </c>
      <c r="O20" s="49" t="s">
        <v>56</v>
      </c>
      <c r="P20" s="49" t="s">
        <v>52</v>
      </c>
      <c r="Q20" s="49" t="s">
        <v>50</v>
      </c>
      <c r="R20" s="50" t="s">
        <v>49</v>
      </c>
      <c r="S20" s="49" t="s">
        <v>51</v>
      </c>
      <c r="T20" s="49" t="s">
        <v>24</v>
      </c>
      <c r="U20" s="37" t="s">
        <v>3</v>
      </c>
      <c r="V20" s="37" t="s">
        <v>57</v>
      </c>
    </row>
    <row r="21" spans="1:22" ht="15" customHeight="1" x14ac:dyDescent="0.25">
      <c r="C21" s="51" t="s">
        <v>12</v>
      </c>
      <c r="D21" s="52">
        <f>IF(AND(Abw!$C$15&gt;=0,Abw!$C$15&lt;31),Abw!$C$15,0)</f>
        <v>0</v>
      </c>
      <c r="E21" s="53">
        <f>+H5</f>
        <v>16.080000000000002</v>
      </c>
      <c r="F21" s="53">
        <f>(D21-D4)*F5</f>
        <v>0</v>
      </c>
      <c r="G21" s="53">
        <f t="shared" ref="G21:G27" si="2">+E21+F21</f>
        <v>16.080000000000002</v>
      </c>
      <c r="H21" s="54">
        <f>IF(D21&gt;0,F21,0)</f>
        <v>0</v>
      </c>
      <c r="I21" s="54">
        <f>IF(D21&gt;=0,E21,0)</f>
        <v>16.080000000000002</v>
      </c>
      <c r="J21" s="55">
        <f>IF(ISBLANK(Gebührenrechner!$E$10),0,I21)</f>
        <v>16.080000000000002</v>
      </c>
      <c r="K21" s="55">
        <f>IF(ISBLANK(J21),"0",I21)</f>
        <v>16.080000000000002</v>
      </c>
      <c r="L21" s="55">
        <f t="shared" ref="L21:L28" si="3">IF(D30&gt;30,0,K21)</f>
        <v>0</v>
      </c>
      <c r="M21" s="54">
        <f>+H21+I21</f>
        <v>16.080000000000002</v>
      </c>
      <c r="O21" s="55">
        <f>IF(ISBLANK(Gebührenrechner!$E$10),0,N21)</f>
        <v>0</v>
      </c>
      <c r="Q21" s="54">
        <f>IF(D21&gt;0,$Q$19*D21,0)</f>
        <v>0</v>
      </c>
      <c r="R21" s="54">
        <f>1.27*12</f>
        <v>15.24</v>
      </c>
      <c r="S21" s="39">
        <f>IF(D21&gt;=0,R21,0)</f>
        <v>15.24</v>
      </c>
      <c r="T21" s="55">
        <f>IF(ISBLANK(Gebührenrechner!$E$10),0,S21)</f>
        <v>15.24</v>
      </c>
    </row>
    <row r="22" spans="1:22" ht="15" customHeight="1" x14ac:dyDescent="0.25">
      <c r="C22" s="51" t="s">
        <v>13</v>
      </c>
      <c r="D22" s="52">
        <f>IF(AND(Abw!$C$15&gt;30,Abw!$C$15&lt;151),Abw!$C$15,0)</f>
        <v>150</v>
      </c>
      <c r="E22" s="53">
        <f t="shared" ref="E22:E29" si="4">+H6</f>
        <v>87</v>
      </c>
      <c r="F22" s="53">
        <f t="shared" ref="F22:F28" si="5">(D22-D5)*F6</f>
        <v>374.40000000000003</v>
      </c>
      <c r="G22" s="53">
        <f t="shared" si="2"/>
        <v>461.40000000000003</v>
      </c>
      <c r="H22" s="54">
        <f t="shared" ref="H22:H29" si="6">IF(D22&gt;0,F22,0)</f>
        <v>374.40000000000003</v>
      </c>
      <c r="I22" s="54">
        <f t="shared" ref="I22:I29" si="7">IF(D22&gt;0,E22,0)</f>
        <v>87</v>
      </c>
      <c r="J22" s="55">
        <f>IF(ISBLANK(Gebührenrechner!$E$10),0,I22)</f>
        <v>87</v>
      </c>
      <c r="K22" s="55">
        <f t="shared" ref="K22:K28" si="8">IF(ISBLANK(J22),"0",I22)</f>
        <v>87</v>
      </c>
      <c r="L22" s="55">
        <f t="shared" si="3"/>
        <v>87</v>
      </c>
      <c r="M22" s="54">
        <f t="shared" ref="M22:M29" si="9">+H22+I22</f>
        <v>461.40000000000003</v>
      </c>
      <c r="O22" s="55">
        <f>IF(ISBLANK(Gebührenrechner!$E$10),0,N22)</f>
        <v>0</v>
      </c>
      <c r="Q22" s="54">
        <f t="shared" ref="Q22:Q29" si="10">IF(D22&gt;0,$Q$19*D22,0)</f>
        <v>321</v>
      </c>
      <c r="R22" s="54">
        <f>6.83*12</f>
        <v>81.960000000000008</v>
      </c>
      <c r="S22" s="39">
        <f>IF(D22&gt;0,R22,0)</f>
        <v>81.960000000000008</v>
      </c>
      <c r="T22" s="55">
        <f>IF(ISBLANK(Gebührenrechner!$E$10),0,S22)</f>
        <v>81.960000000000008</v>
      </c>
    </row>
    <row r="23" spans="1:22" ht="15" customHeight="1" x14ac:dyDescent="0.25">
      <c r="C23" s="51" t="s">
        <v>14</v>
      </c>
      <c r="D23" s="52">
        <f>IF(AND(Abw!$C$15&gt;150,Abw!$C$15&lt;251),Abw!$C$15,0)</f>
        <v>0</v>
      </c>
      <c r="E23" s="53">
        <f t="shared" si="4"/>
        <v>461.52</v>
      </c>
      <c r="F23" s="53">
        <f t="shared" si="5"/>
        <v>-520.5</v>
      </c>
      <c r="G23" s="53">
        <f t="shared" si="2"/>
        <v>-58.980000000000018</v>
      </c>
      <c r="H23" s="54">
        <f t="shared" si="6"/>
        <v>0</v>
      </c>
      <c r="I23" s="54">
        <f t="shared" si="7"/>
        <v>0</v>
      </c>
      <c r="J23" s="55">
        <f>IF(ISBLANK(Gebührenrechner!$E$10),0,I23)</f>
        <v>0</v>
      </c>
      <c r="K23" s="55">
        <f t="shared" si="8"/>
        <v>0</v>
      </c>
      <c r="L23" s="55">
        <f t="shared" si="3"/>
        <v>0</v>
      </c>
      <c r="M23" s="54">
        <f t="shared" si="9"/>
        <v>0</v>
      </c>
      <c r="O23" s="55">
        <f>IF(ISBLANK(Gebührenrechner!$E$10),0,N23)</f>
        <v>0</v>
      </c>
      <c r="Q23" s="54">
        <f t="shared" si="10"/>
        <v>0</v>
      </c>
      <c r="R23" s="54">
        <f>18.71*12</f>
        <v>224.52</v>
      </c>
      <c r="S23" s="39">
        <f t="shared" ref="S23:S29" si="11">IF(D23&gt;0,R23,0)</f>
        <v>0</v>
      </c>
      <c r="T23" s="55">
        <f>IF(ISBLANK(Gebührenrechner!$E$10),0,S23)</f>
        <v>0</v>
      </c>
    </row>
    <row r="24" spans="1:22" ht="15" customHeight="1" x14ac:dyDescent="0.25">
      <c r="C24" s="51" t="s">
        <v>15</v>
      </c>
      <c r="D24" s="52">
        <f>IF(AND(Abw!$C$15&gt;250,Abw!$C$15&lt;501),Abw!$C$15,0)</f>
        <v>0</v>
      </c>
      <c r="E24" s="53">
        <f>+H8</f>
        <v>808.08</v>
      </c>
      <c r="F24" s="53">
        <f t="shared" si="5"/>
        <v>-882.5</v>
      </c>
      <c r="G24" s="53">
        <f>+E24+F24</f>
        <v>-74.419999999999959</v>
      </c>
      <c r="H24" s="54">
        <f t="shared" si="6"/>
        <v>0</v>
      </c>
      <c r="I24" s="54">
        <f t="shared" si="7"/>
        <v>0</v>
      </c>
      <c r="J24" s="55">
        <f>IF(ISBLANK(Gebührenrechner!$E$10),0,I24)</f>
        <v>0</v>
      </c>
      <c r="K24" s="55">
        <f t="shared" si="8"/>
        <v>0</v>
      </c>
      <c r="L24" s="55">
        <f t="shared" si="3"/>
        <v>0</v>
      </c>
      <c r="M24" s="54">
        <f t="shared" si="9"/>
        <v>0</v>
      </c>
      <c r="O24" s="55">
        <f>IF(ISBLANK(Gebührenrechner!$E$10),0,N24)</f>
        <v>0</v>
      </c>
      <c r="Q24" s="54">
        <f t="shared" si="10"/>
        <v>0</v>
      </c>
      <c r="R24" s="54">
        <f>36.14*12</f>
        <v>433.68</v>
      </c>
      <c r="S24" s="39">
        <f t="shared" si="11"/>
        <v>0</v>
      </c>
      <c r="T24" s="55">
        <f>IF(ISBLANK(Gebührenrechner!$E$10),0,S24)</f>
        <v>0</v>
      </c>
    </row>
    <row r="25" spans="1:22" ht="15" customHeight="1" x14ac:dyDescent="0.25">
      <c r="C25" s="51" t="s">
        <v>16</v>
      </c>
      <c r="D25" s="52">
        <f>IF(AND(Abw!$C$15&gt;500,Abw!$C$15&lt;1001),Abw!$C$15,0)</f>
        <v>0</v>
      </c>
      <c r="E25" s="53">
        <f t="shared" si="4"/>
        <v>1691.52</v>
      </c>
      <c r="F25" s="53">
        <f t="shared" si="5"/>
        <v>-1765</v>
      </c>
      <c r="G25" s="53">
        <f t="shared" si="2"/>
        <v>-73.480000000000018</v>
      </c>
      <c r="H25" s="54">
        <f t="shared" si="6"/>
        <v>0</v>
      </c>
      <c r="I25" s="54">
        <f t="shared" si="7"/>
        <v>0</v>
      </c>
      <c r="J25" s="55">
        <f>IF(ISBLANK(Gebührenrechner!$E$10),0,I25)</f>
        <v>0</v>
      </c>
      <c r="K25" s="55">
        <f t="shared" si="8"/>
        <v>0</v>
      </c>
      <c r="L25" s="55">
        <f t="shared" si="3"/>
        <v>0</v>
      </c>
      <c r="M25" s="54">
        <f t="shared" si="9"/>
        <v>0</v>
      </c>
      <c r="O25" s="55">
        <f>IF(ISBLANK(Gebührenrechner!$E$10),0,N25)</f>
        <v>0</v>
      </c>
      <c r="Q25" s="54">
        <f t="shared" si="10"/>
        <v>0</v>
      </c>
      <c r="R25" s="54">
        <f>74.72*12</f>
        <v>896.64</v>
      </c>
      <c r="S25" s="39">
        <f t="shared" si="11"/>
        <v>0</v>
      </c>
      <c r="T25" s="55">
        <f>IF(ISBLANK(Gebührenrechner!$E$10),0,S25)</f>
        <v>0</v>
      </c>
    </row>
    <row r="26" spans="1:22" ht="15" customHeight="1" x14ac:dyDescent="0.25">
      <c r="C26" s="51" t="s">
        <v>17</v>
      </c>
      <c r="D26" s="52">
        <f>IF(AND(Abw!$C$15&gt;1000,Abw!$C$15&lt;5001),Abw!$C$15,0)</f>
        <v>0</v>
      </c>
      <c r="E26" s="53">
        <f t="shared" si="4"/>
        <v>3458.5199999999995</v>
      </c>
      <c r="F26" s="53">
        <f t="shared" si="5"/>
        <v>-3530</v>
      </c>
      <c r="G26" s="53">
        <f t="shared" si="2"/>
        <v>-71.480000000000473</v>
      </c>
      <c r="H26" s="54">
        <f t="shared" si="6"/>
        <v>0</v>
      </c>
      <c r="I26" s="54">
        <f t="shared" si="7"/>
        <v>0</v>
      </c>
      <c r="J26" s="55">
        <f>IF(ISBLANK(Gebührenrechner!$E$10),0,I26)</f>
        <v>0</v>
      </c>
      <c r="K26" s="55">
        <f t="shared" si="8"/>
        <v>0</v>
      </c>
      <c r="L26" s="55">
        <f t="shared" si="3"/>
        <v>0</v>
      </c>
      <c r="M26" s="54">
        <f t="shared" si="9"/>
        <v>0</v>
      </c>
      <c r="O26" s="55">
        <f>IF(ISBLANK(Gebührenrechner!$E$10),0,N26)</f>
        <v>0</v>
      </c>
      <c r="Q26" s="54">
        <f t="shared" si="10"/>
        <v>0</v>
      </c>
      <c r="R26" s="54">
        <f>198.62*12</f>
        <v>2383.44</v>
      </c>
      <c r="S26" s="39">
        <f t="shared" si="11"/>
        <v>0</v>
      </c>
      <c r="T26" s="55">
        <f>IF(ISBLANK(Gebührenrechner!$E$10),0,S26)</f>
        <v>0</v>
      </c>
    </row>
    <row r="27" spans="1:22" ht="15" customHeight="1" x14ac:dyDescent="0.25">
      <c r="C27" s="51" t="s">
        <v>18</v>
      </c>
      <c r="D27" s="52">
        <f>IF(AND(Abw!$C$15&gt;5000,Abw!$C$15&lt;7501),Abw!$C$15,0)</f>
        <v>0</v>
      </c>
      <c r="E27" s="53">
        <f t="shared" si="4"/>
        <v>17594.760000000002</v>
      </c>
      <c r="F27" s="53">
        <f t="shared" si="5"/>
        <v>-17650</v>
      </c>
      <c r="G27" s="53">
        <f t="shared" si="2"/>
        <v>-55.239999999997963</v>
      </c>
      <c r="H27" s="54">
        <f t="shared" si="6"/>
        <v>0</v>
      </c>
      <c r="I27" s="54">
        <f t="shared" si="7"/>
        <v>0</v>
      </c>
      <c r="J27" s="55">
        <f>IF(ISBLANK(Gebührenrechner!$E$10),0,I27)</f>
        <v>0</v>
      </c>
      <c r="K27" s="55">
        <f t="shared" si="8"/>
        <v>0</v>
      </c>
      <c r="L27" s="55">
        <f t="shared" si="3"/>
        <v>0</v>
      </c>
      <c r="M27" s="54">
        <f t="shared" si="9"/>
        <v>0</v>
      </c>
      <c r="O27" s="55">
        <f>IF(ISBLANK(Gebührenrechner!$E$10),0,N27)</f>
        <v>0</v>
      </c>
      <c r="Q27" s="54">
        <f t="shared" si="10"/>
        <v>0</v>
      </c>
      <c r="R27" s="54">
        <f>723.33*12</f>
        <v>8679.9600000000009</v>
      </c>
      <c r="S27" s="39">
        <f t="shared" si="11"/>
        <v>0</v>
      </c>
      <c r="T27" s="55">
        <f>IF(ISBLANK(Gebührenrechner!$E$10),0,S27)</f>
        <v>0</v>
      </c>
    </row>
    <row r="28" spans="1:22" ht="15" customHeight="1" x14ac:dyDescent="0.25">
      <c r="C28" s="51" t="s">
        <v>19</v>
      </c>
      <c r="D28" s="52">
        <f>IF(AND(Abw!$C$15&gt;7500,Abw!$C$15&lt;20001),Abw!$C$15,0)</f>
        <v>0</v>
      </c>
      <c r="E28" s="53">
        <f t="shared" si="4"/>
        <v>26429.879999999997</v>
      </c>
      <c r="F28" s="53">
        <f t="shared" si="5"/>
        <v>-26475</v>
      </c>
      <c r="G28" s="53">
        <f>+E28+F28</f>
        <v>-45.120000000002619</v>
      </c>
      <c r="H28" s="54">
        <f t="shared" si="6"/>
        <v>0</v>
      </c>
      <c r="I28" s="54">
        <f t="shared" si="7"/>
        <v>0</v>
      </c>
      <c r="J28" s="55">
        <f>IF(ISBLANK(Gebührenrechner!$E$10),0,I28)</f>
        <v>0</v>
      </c>
      <c r="K28" s="55">
        <f t="shared" si="8"/>
        <v>0</v>
      </c>
      <c r="L28" s="55">
        <f t="shared" si="3"/>
        <v>0</v>
      </c>
      <c r="M28" s="54">
        <f t="shared" si="9"/>
        <v>0</v>
      </c>
      <c r="O28" s="55">
        <f>IF(ISBLANK(Gebührenrechner!$E$10),0,N28)</f>
        <v>0</v>
      </c>
      <c r="Q28" s="54">
        <f t="shared" si="10"/>
        <v>0</v>
      </c>
      <c r="R28" s="54">
        <f>938.4*12</f>
        <v>11260.8</v>
      </c>
      <c r="S28" s="39">
        <f t="shared" si="11"/>
        <v>0</v>
      </c>
      <c r="T28" s="55">
        <f>IF(ISBLANK(Gebührenrechner!$E$10),0,S28)</f>
        <v>0</v>
      </c>
    </row>
    <row r="29" spans="1:22" ht="15" customHeight="1" x14ac:dyDescent="0.25">
      <c r="C29" s="51" t="s">
        <v>70</v>
      </c>
      <c r="D29" s="52">
        <f>IF(AND(Abw!$C$15&gt;20000,Abw!$C$15&lt;9.99999999999999E+78),Abw!$C$15,0)</f>
        <v>0</v>
      </c>
      <c r="E29" s="53">
        <f t="shared" si="4"/>
        <v>70605.600000000006</v>
      </c>
      <c r="F29" s="53">
        <f>(D29-D12)*F13</f>
        <v>-70600</v>
      </c>
      <c r="G29" s="53">
        <f>+E29+F29</f>
        <v>5.6000000000058208</v>
      </c>
      <c r="H29" s="54">
        <f t="shared" si="6"/>
        <v>0</v>
      </c>
      <c r="I29" s="54">
        <f t="shared" si="7"/>
        <v>0</v>
      </c>
      <c r="J29" s="55">
        <f>IF(ISBLANK(Gebührenrechner!$E$10),0,I29)</f>
        <v>0</v>
      </c>
      <c r="K29" s="55"/>
      <c r="L29" s="55"/>
      <c r="M29" s="54">
        <f t="shared" si="9"/>
        <v>0</v>
      </c>
      <c r="O29" s="55">
        <f>IF(ISBLANK(Gebührenrechner!$E$10),0,N29)</f>
        <v>0</v>
      </c>
      <c r="Q29" s="54">
        <f t="shared" si="10"/>
        <v>0</v>
      </c>
      <c r="R29" s="54">
        <f>2632.61*12</f>
        <v>31591.32</v>
      </c>
      <c r="S29" s="39">
        <f t="shared" si="11"/>
        <v>0</v>
      </c>
      <c r="T29" s="55">
        <f>IF(ISBLANK(Gebührenrechner!$E$10),0,S29)</f>
        <v>0</v>
      </c>
    </row>
    <row r="30" spans="1:22" x14ac:dyDescent="0.25">
      <c r="D30" s="52">
        <f>SUM(D21:D28)</f>
        <v>150</v>
      </c>
      <c r="H30" s="56">
        <f>SUM(H21:H29)</f>
        <v>374.40000000000003</v>
      </c>
      <c r="I30" s="56">
        <f>SUM(I21:I29)</f>
        <v>103.08</v>
      </c>
      <c r="J30" s="56">
        <f>SUM(J21:J29)</f>
        <v>103.08</v>
      </c>
      <c r="K30" s="56">
        <f>SUM(K21:K28)</f>
        <v>103.08</v>
      </c>
      <c r="L30" s="56">
        <f>SUM(L21:L28)</f>
        <v>87</v>
      </c>
      <c r="M30" s="56">
        <f>+I30+H30</f>
        <v>477.48</v>
      </c>
      <c r="N30" s="57">
        <f>IF(J32&gt;0,N19,0)</f>
        <v>40.799999999999997</v>
      </c>
      <c r="O30" s="56">
        <f>SUM(O21:O28)</f>
        <v>0</v>
      </c>
      <c r="P30" s="57">
        <f>IF(J32&gt;0,P19,0)</f>
        <v>16.68</v>
      </c>
      <c r="Q30" s="56">
        <f>SUM(Q21:Q28)</f>
        <v>321</v>
      </c>
      <c r="R30" s="56"/>
      <c r="S30" s="56">
        <f>SUM(S21:S29)</f>
        <v>97.2</v>
      </c>
      <c r="T30" s="56">
        <f>SUM(T21:T29)</f>
        <v>97.2</v>
      </c>
      <c r="U30" s="37">
        <f>IF(T32&gt;0,N19,0)</f>
        <v>40.799999999999997</v>
      </c>
      <c r="V30" s="37">
        <f>IF(T32&gt;0,P19,0)</f>
        <v>16.68</v>
      </c>
    </row>
    <row r="32" spans="1:22" x14ac:dyDescent="0.25">
      <c r="I32" s="56">
        <f>+I30-I21</f>
        <v>87</v>
      </c>
      <c r="J32" s="56">
        <f>IF(J30=J21,J30,(J30-$J$21))</f>
        <v>87</v>
      </c>
      <c r="K32" s="57"/>
      <c r="L32" s="57"/>
      <c r="M32" s="56">
        <f>+M30-M21</f>
        <v>461.40000000000003</v>
      </c>
      <c r="N32" s="56"/>
      <c r="O32" s="56"/>
      <c r="P32" s="56"/>
      <c r="S32" s="55"/>
      <c r="T32" s="56">
        <f>IF(T30=T21,T30,(T30-$T$21))</f>
        <v>81.960000000000008</v>
      </c>
    </row>
    <row r="35" spans="2:16" x14ac:dyDescent="0.25">
      <c r="B35" s="59"/>
    </row>
    <row r="36" spans="2:16" x14ac:dyDescent="0.25">
      <c r="B36" s="59"/>
      <c r="C36" s="60"/>
    </row>
    <row r="37" spans="2:16" x14ac:dyDescent="0.25">
      <c r="B37" s="60"/>
      <c r="C37" s="60"/>
    </row>
    <row r="38" spans="2:16" x14ac:dyDescent="0.25">
      <c r="B38" s="61"/>
      <c r="C38" s="60"/>
    </row>
    <row r="39" spans="2:16" x14ac:dyDescent="0.25">
      <c r="B39" s="61"/>
      <c r="C39" s="60"/>
    </row>
    <row r="44" spans="2:16" hidden="1" x14ac:dyDescent="0.25">
      <c r="P44" s="62" t="s">
        <v>35</v>
      </c>
    </row>
    <row r="45" spans="2:16" hidden="1" x14ac:dyDescent="0.25">
      <c r="P45" s="62" t="s">
        <v>36</v>
      </c>
    </row>
    <row r="46" spans="2:16" hidden="1" x14ac:dyDescent="0.25">
      <c r="P46" s="62" t="s">
        <v>37</v>
      </c>
    </row>
    <row r="47" spans="2:16" hidden="1" x14ac:dyDescent="0.25">
      <c r="P47" s="62" t="s">
        <v>38</v>
      </c>
    </row>
    <row r="48" spans="2:16" hidden="1" x14ac:dyDescent="0.25">
      <c r="P48" s="62" t="s">
        <v>38</v>
      </c>
    </row>
    <row r="49" spans="16:16" hidden="1" x14ac:dyDescent="0.25">
      <c r="P49" s="62" t="s">
        <v>39</v>
      </c>
    </row>
    <row r="50" spans="16:16" hidden="1" x14ac:dyDescent="0.25">
      <c r="P50" s="62" t="s">
        <v>39</v>
      </c>
    </row>
    <row r="51" spans="16:16" hidden="1" x14ac:dyDescent="0.25">
      <c r="P51" s="62" t="s">
        <v>39</v>
      </c>
    </row>
    <row r="52" spans="16:16" hidden="1" x14ac:dyDescent="0.25">
      <c r="P52" s="62"/>
    </row>
    <row r="53" spans="16:16" hidden="1" x14ac:dyDescent="0.25">
      <c r="P53" s="62" t="s">
        <v>40</v>
      </c>
    </row>
    <row r="54" spans="16:16" hidden="1" x14ac:dyDescent="0.25">
      <c r="P54" s="62" t="s">
        <v>41</v>
      </c>
    </row>
    <row r="55" spans="16:16" hidden="1" x14ac:dyDescent="0.25">
      <c r="P55" s="62" t="s">
        <v>42</v>
      </c>
    </row>
    <row r="56" spans="16:16" hidden="1" x14ac:dyDescent="0.25">
      <c r="P56" s="62" t="s">
        <v>43</v>
      </c>
    </row>
    <row r="57" spans="16:16" hidden="1" x14ac:dyDescent="0.25">
      <c r="P57" s="62" t="s">
        <v>43</v>
      </c>
    </row>
    <row r="58" spans="16:16" hidden="1" x14ac:dyDescent="0.25">
      <c r="P58" s="62" t="s">
        <v>43</v>
      </c>
    </row>
    <row r="59" spans="16:16" hidden="1" x14ac:dyDescent="0.25">
      <c r="P59" s="62" t="s">
        <v>43</v>
      </c>
    </row>
    <row r="60" spans="16:16" hidden="1" x14ac:dyDescent="0.25">
      <c r="P60" s="62" t="s">
        <v>43</v>
      </c>
    </row>
    <row r="61" spans="16:16" hidden="1" x14ac:dyDescent="0.25"/>
    <row r="62" spans="16:16" hidden="1" x14ac:dyDescent="0.25"/>
    <row r="63" spans="16:16" hidden="1" x14ac:dyDescent="0.25">
      <c r="P63" s="62" t="s">
        <v>44</v>
      </c>
    </row>
    <row r="64" spans="16:16" hidden="1" x14ac:dyDescent="0.25">
      <c r="P64" s="62" t="s">
        <v>45</v>
      </c>
    </row>
  </sheetData>
  <sheetProtection password="B39A" sheet="1" select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Gebührenrechner</vt:lpstr>
      <vt:lpstr>Abw</vt:lpstr>
      <vt:lpstr>Was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Hofmann Torsten (Stadtwerke Witzenhausen GmbH)</dc:creator>
  <cp:lastModifiedBy>Hofmann Torsten (Stadtwerke Witzenhausen GmbH)</cp:lastModifiedBy>
  <cp:lastPrinted>2021-02-12T16:23:57Z</cp:lastPrinted>
  <dcterms:created xsi:type="dcterms:W3CDTF">2021-02-11T14:53:24Z</dcterms:created>
  <dcterms:modified xsi:type="dcterms:W3CDTF">2022-01-31T14:50:35Z</dcterms:modified>
</cp:coreProperties>
</file>